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7.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8.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drawings/drawing11.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12.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drawings/drawing13.xml" ContentType="application/vnd.openxmlformats-officedocument.drawing+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drawings/drawing14.xml" ContentType="application/vnd.openxmlformats-officedocument.drawing+xml"/>
  <Override PartName="/xl/tables/table50.xml" ContentType="application/vnd.openxmlformats-officedocument.spreadsheetml.table+xml"/>
  <Override PartName="/xl/tables/table51.xml" ContentType="application/vnd.openxmlformats-officedocument.spreadsheetml.table+xml"/>
  <Override PartName="/xl/drawings/drawing15.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drawings/drawing16.xml" ContentType="application/vnd.openxmlformats-officedocument.drawing+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6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quinoxgold-my.sharepoint.com/personal/rhylin_bailie_equinoxgold_com/Documents/Documents/CSR/2025/"/>
    </mc:Choice>
  </mc:AlternateContent>
  <xr:revisionPtr revIDLastSave="0" documentId="8_{85F620D4-162E-4AF1-87A3-CCDA571CB18D}" xr6:coauthVersionLast="47" xr6:coauthVersionMax="47" xr10:uidLastSave="{00000000-0000-0000-0000-000000000000}"/>
  <bookViews>
    <workbookView xWindow="-21084" yWindow="8904" windowWidth="17280" windowHeight="9888" tabRatio="942" firstSheet="15" activeTab="15" xr2:uid="{CF958998-53EE-48CC-8D9A-4867C88F84AC}"/>
  </bookViews>
  <sheets>
    <sheet name="HOME" sheetId="17" r:id="rId1"/>
    <sheet name="GRI Content Index" sheetId="18" r:id="rId2"/>
    <sheet name="SASB Content Index" sheetId="19" r:id="rId3"/>
    <sheet name="Overview" sheetId="12" r:id="rId4"/>
    <sheet name="Performance Summary" sheetId="22" r:id="rId5"/>
    <sheet name="BIODIVERSITY" sheetId="2" r:id="rId6"/>
    <sheet name="BUSINESS ETHICS" sheetId="11" r:id="rId7"/>
    <sheet name="CLIMATE" sheetId="4" r:id="rId8"/>
    <sheet name="ECONOMIC CONTRIBUTIONS" sheetId="10" r:id="rId9"/>
    <sheet name="HUMAN RIGHTS" sheetId="20" r:id="rId10"/>
    <sheet name="INDIGENOUS AND COMMUNITIES" sheetId="8" r:id="rId11"/>
    <sheet name="OHS" sheetId="5" r:id="rId12"/>
    <sheet name="PEOPLE" sheetId="7" r:id="rId13"/>
    <sheet name="RESPONSIBLE SOURCING" sheetId="14" r:id="rId14"/>
    <sheet name="WASTE" sheetId="6" r:id="rId15"/>
    <sheet name="WATER" sheetId="3" r:id="rId16"/>
    <sheet name="Facilities Inventory" sheetId="23" r:id="rId17"/>
  </sheets>
  <externalReferences>
    <externalReference r:id="rId18"/>
    <externalReference r:id="rId19"/>
  </externalReferences>
  <definedNames>
    <definedName name="_Toc219300811" localSheetId="1">'GRI Content Index'!$C$178</definedName>
    <definedName name="Acid_Rock_Drainage">WATER!$B$44</definedName>
    <definedName name="Acronyms">Overview!$B$78</definedName>
    <definedName name="Air_Emissions">CLIMATE!$B$62</definedName>
    <definedName name="ASM">'RESPONSIBLE SOURCING'!$B$24</definedName>
    <definedName name="Collective_Bargaining_Agreements">PEOPLE!$B$125</definedName>
    <definedName name="Communication_and_Training_about_Anti_corruption_by_Region">'BUSINESS ETHICS'!#REF!</definedName>
    <definedName name="Communication_of_critical_concerns">'BUSINESS ETHICS'!$B$9</definedName>
    <definedName name="Community_Investments_FY2025_by_Mine_Site__USD__Million">'ECONOMIC CONTRIBUTIONS'!#REF!</definedName>
    <definedName name="Compliance_with_laws_and_regulations">'BUSINESS ETHICS'!$B$20</definedName>
    <definedName name="Confirmed_Incidents_of_Corruption_and_Actions_Taken">'BUSINESS ETHICS'!$B$45</definedName>
    <definedName name="Conflicts_or_Violations_of_Land_and_Resource_Rights" localSheetId="9">'HUMAN RIGHTS'!#REF!</definedName>
    <definedName name="Conflicts_or_Violations_of_Land_and_Resource_Rights">'INDIGENOUS AND COMMUNITIES'!$B$78</definedName>
    <definedName name="Critical_incident_management">WASTE!$B$95</definedName>
    <definedName name="Definitions___Methodologies">Overview!#REF!</definedName>
    <definedName name="Direct_Drivers_of_Biodiversity_Loss">BIODIVERSITY!#REF!</definedName>
    <definedName name="Direct_Economic_Value_Generated_and_Distributed_by_Region">'ECONOMIC CONTRIBUTIONS'!$B$9</definedName>
    <definedName name="Disturbance___Rehabilitation">BIODIVERSITY!$B$24</definedName>
    <definedName name="Diversity_of_Employees">PEOPLE!$B$52</definedName>
    <definedName name="Economic_Performance_FY2025">'ECONOMIC CONTRIBUTIONS'!$B$9</definedName>
    <definedName name="Employee_Demographics">PEOPLE!$B$9</definedName>
    <definedName name="Energy_consumption_within_the_organization">CLIMATE!$B$9</definedName>
    <definedName name="Energy_intensity">CLIMATE!$B$23</definedName>
    <definedName name="Free__Prior__and_Informed_Consent__FPIC" localSheetId="9">'HUMAN RIGHTS'!#REF!</definedName>
    <definedName name="Free__Prior__and_Informed_Consent__FPIC">'INDIGENOUS AND COMMUNITIES'!$B$58</definedName>
    <definedName name="Geographic_Classification">Overview!$B$27</definedName>
    <definedName name="GHG_emissions_intensity">CLIMATE!$B$45</definedName>
    <definedName name="Gold_Production_FY2025">Overview!$B$60</definedName>
    <definedName name="GRI_14.8_Closure_and_Rehabilitation">BIODIVERSITY!$B$25</definedName>
    <definedName name="GRI_content_index">'GRI Content Index'!$A$2</definedName>
    <definedName name="Grievances_from_Local_Communities" localSheetId="9">'HUMAN RIGHTS'!#REF!</definedName>
    <definedName name="Grievances_from_Local_Communities">'INDIGENOUS AND COMMUNITIES'!$B$25</definedName>
    <definedName name="Heap_Leach">'Facilities Inventory'!$B$17</definedName>
    <definedName name="Heap_Leach_Facilities_Inventory_Table">'Facilities Inventory'!$B$17</definedName>
    <definedName name="HS_Restated_Information_FY2023_2024">OHS!#REF!</definedName>
    <definedName name="Incidents_of_Discrimination">PEOPLE!$B$149</definedName>
    <definedName name="Incidents_of_Violations_Involving_Rights_of_Indigenous_Peoples" localSheetId="9">'HUMAN RIGHTS'!#REF!</definedName>
    <definedName name="Incidents_of_Violations_Involving_Rights_of_Indigenous_Peoples">'INDIGENOUS AND COMMUNITIES'!$B$39</definedName>
    <definedName name="Infrastructure_investments_and_services_supported_FY2025">'ECONOMIC CONTRIBUTIONS'!$B$48</definedName>
    <definedName name="Involuntary_Resettlement" localSheetId="9">'HUMAN RIGHTS'!#REF!</definedName>
    <definedName name="Involuntary_Resettlement">'INDIGENOUS AND COMMUNITIES'!$B$66</definedName>
    <definedName name="Locations_with_Biodiversity_Impacts">BIODIVERSITY!$B$9</definedName>
    <definedName name="Management_Approach_Bio">BIODIVERSITY!$B$5</definedName>
    <definedName name="Management_Approach_Climate">CLIMATE!$B$5</definedName>
    <definedName name="Management_Approach_Communities" localSheetId="9">'HUMAN RIGHTS'!$B$5</definedName>
    <definedName name="Management_Approach_Communities">'INDIGENOUS AND COMMUNITIES'!$B$5</definedName>
    <definedName name="Management_Approach_Econ">'ECONOMIC CONTRIBUTIONS'!$B$5</definedName>
    <definedName name="Management_Approach_Gov">'BUSINESS ETHICS'!$B$5</definedName>
    <definedName name="Management_Approach_HR">PEOPLE!$B$5</definedName>
    <definedName name="Management_Approach_OHS">OHS!$B$5</definedName>
    <definedName name="Management_Approach_SC">'RESPONSIBLE SOURCING'!$B$5</definedName>
    <definedName name="Management_Approach_Waste">WASTE!$B$5</definedName>
    <definedName name="Management_Approach_Water">WATER!$B$5</definedName>
    <definedName name="mdrt">'[1]ESRS2 MDR'!$A$23:$J$48+'[1]ESRS2 MDR'!$A$23:$J$36</definedName>
    <definedName name="Mine_Site_Disclosure">Overview!#REF!</definedName>
    <definedName name="MSHA_all_incidence_rate__fatality_rate__near_miss_frequency_rate_and_average_hours_of_health__safety__and_emergency_response_training">OHS!$B$53</definedName>
    <definedName name="NAVIGATION_TABLE">HOME!$B$12</definedName>
    <definedName name="New_Employee_Hires_and_Employee_Turnover">PEOPLE!$B$66</definedName>
    <definedName name="Non_technical_Delays" localSheetId="9">'HUMAN RIGHTS'!#REF!</definedName>
    <definedName name="Non_technical_Delays">'INDIGENOUS AND COMMUNITIES'!$B$87</definedName>
    <definedName name="Number_of_incidents_of_non_compliance_associated_with_water_quality_permits__standards_and_regulations">WATER!$B$52</definedName>
    <definedName name="Operations_Assessed_for_Risks_Related_to_Corruption">'BUSINESS ETHICS'!$B$36</definedName>
    <definedName name="Operations_with_local_community_engagement__impact_assessments__and_development_programs" localSheetId="9">'HUMAN RIGHTS'!#REF!</definedName>
    <definedName name="Operations_with_local_community_engagement__impact_assessments__and_development_programs">'INDIGENOUS AND COMMUNITIES'!$B$9</definedName>
    <definedName name="Parental_Leave">PEOPLE!$B$109</definedName>
    <definedName name="Percentage_of_mine_sites_where_acid_rock_drainage_is___1__predicted_to_occur___2__actively_mitigated__and__3__under_treatment_or_remediation">WATER!$B$44</definedName>
    <definedName name="Proportion_of_Spending_on_Local_Suppliers_by_Mine_Site">'RESPONSIBLE SOURCING'!$B$9</definedName>
    <definedName name="Ratio_of_Basic_Salary_and_Remuneration_of_Women_to_Men">PEOPLE!$B$118</definedName>
    <definedName name="Reduction_of_GHG_Emissions">CLIMATE!$B$52</definedName>
    <definedName name="Reporting_Scope">Overview!$B$4</definedName>
    <definedName name="Reserves_in_or_Near_Areas_of_Conflict" localSheetId="9">'HUMAN RIGHTS'!$B$31</definedName>
    <definedName name="Reserves_in_or_Near_Areas_of_Conflict">'INDIGENOUS AND COMMUNITIES'!#REF!</definedName>
    <definedName name="Reserves_in_or_Near_Indigenous_Peoples_Territories" localSheetId="9">'HUMAN RIGHTS'!#REF!</definedName>
    <definedName name="Reserves_in_or_Near_Indigenous_Peoples_Territories">'INDIGENOUS AND COMMUNITIES'!$B$50</definedName>
    <definedName name="Restated_Information_FY2024_EmissionsIntensity">CLIMATE!#REF!</definedName>
    <definedName name="Restated_Information_FY2024_Scope1">CLIMATE!#REF!</definedName>
    <definedName name="Restated_Information_FY2024_Scope2">CLIMATE!#REF!</definedName>
    <definedName name="Restated_Information_FY2024_WasteDirected">WASTE!#REF!</definedName>
    <definedName name="Restated_Information_FY2024_WasteDiverted">WASTE!#REF!</definedName>
    <definedName name="Restated_Information_FY2024_Water">WATER!$B$59</definedName>
    <definedName name="Restatements_of_Information">Overview!$B$53</definedName>
    <definedName name="Risk_of_Forced_and_Child_Labor">'HUMAN RIGHTS'!$B$9</definedName>
    <definedName name="SASB_Standards_Content_Index">'SASB Content Index'!$A$2</definedName>
    <definedName name="Scope_1_Emissions">CLIMATE!$B$30</definedName>
    <definedName name="Scope_2_Emissions">CLIMATE!#REF!</definedName>
    <definedName name="Scope_2_GHG_Emissions_by_Mine_Site">CLIMATE!$B$37</definedName>
    <definedName name="Security_Personnel_Trained_in_Human_Rights" localSheetId="9">'HUMAN RIGHTS'!$B$23</definedName>
    <definedName name="Security_Personnel_Trained_in_Human_Rights">'INDIGENOUS AND COMMUNITIES'!#REF!</definedName>
    <definedName name="Significant_Actual_and_Potential_Negative_Impacts_on_Local_Communities" localSheetId="9">'HUMAN RIGHTS'!#REF!</definedName>
    <definedName name="Significant_Actual_and_Potential_Negative_Impacts_on_Local_Communities">'INDIGENOUS AND COMMUNITIES'!#REF!</definedName>
    <definedName name="Significant_Incidents_Associated_with_Hazardous_Materials_and_Waste_Management">WASTE!$B$87</definedName>
    <definedName name="Significant_Indirect_Economic_Impacts">'ECONOMIC CONTRIBUTIONS'!#REF!</definedName>
    <definedName name="Standard_Entry_Level_Wage_Compared_to_Local_Minimum_Wage">PEOPLE!#REF!</definedName>
    <definedName name="Strikes_and_Lockouts">PEOPLE!$B$140</definedName>
    <definedName name="Supplier_Screening">'RESPONSIBLE SOURCING'!#REF!</definedName>
    <definedName name="Tailings_Storage_Facilities_Inventory_Table">'Facilities Inventory'!$B$2</definedName>
    <definedName name="Terms_and_Definitions">Overview!$B$158</definedName>
    <definedName name="Total_GHG_Emissions">CLIMATE!#REF!</definedName>
    <definedName name="Total_Workforce">PEOPLE!$B$132</definedName>
    <definedName name="Total_Workforce_FY2025">PEOPLE!#REF!</definedName>
    <definedName name="Waste_Directed_to_Disposal_by_Mine_Site">WASTE!$B$55</definedName>
    <definedName name="Waste_Diverted_from_Disposal_by_Mine_Site">WASTE!$B$28</definedName>
    <definedName name="Waste_Generated_by_Mine_Site">WASTE!$B$9</definedName>
    <definedName name="Waste_Trail_FY2022_2025">WASTE!#REF!</definedName>
    <definedName name="Water_Consumption_by_Mine_Site">WATER!#REF!</definedName>
    <definedName name="Water_Discharge_by_Mine_Site">WATER!$B$29</definedName>
    <definedName name="Water_Intensity_Trail">WATER!#REF!</definedName>
    <definedName name="Water_Withdrawal_by_Mine_Site">WATER!$B$9</definedName>
    <definedName name="Work_Related_Ill_Health">OHS!$B$41</definedName>
    <definedName name="Work_Related_Injuries">OHS!$B$9</definedName>
    <definedName name="Workers_Hired_From_the_Local_Community_at_the_Mine_site_Level">PEOPLE!$B$22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8" i="7" l="1"/>
  <c r="E74" i="3"/>
  <c r="F74" i="3"/>
  <c r="G74" i="3"/>
  <c r="H74" i="3"/>
  <c r="I74" i="3"/>
  <c r="J74" i="3"/>
  <c r="K74" i="3"/>
  <c r="D74" i="3"/>
  <c r="L62" i="3"/>
  <c r="L63" i="3"/>
  <c r="L64" i="3"/>
  <c r="L65" i="3"/>
  <c r="L66" i="3"/>
  <c r="L68" i="3"/>
  <c r="L69" i="3"/>
  <c r="L70" i="3"/>
  <c r="L71" i="3"/>
  <c r="L72" i="3"/>
  <c r="L73" i="3"/>
  <c r="L61" i="3"/>
  <c r="M35" i="3"/>
  <c r="M36" i="3"/>
  <c r="M37" i="3"/>
  <c r="M40" i="3"/>
  <c r="M34" i="3"/>
  <c r="J39" i="3"/>
  <c r="P35" i="5"/>
  <c r="P34" i="5"/>
  <c r="P29" i="5"/>
  <c r="P30" i="5"/>
  <c r="P31" i="5"/>
  <c r="P32" i="5"/>
  <c r="P33" i="5"/>
  <c r="P28" i="5"/>
  <c r="D19" i="7"/>
  <c r="E19" i="7"/>
  <c r="F19" i="7"/>
  <c r="G19" i="7"/>
  <c r="H19" i="7"/>
  <c r="I19" i="7"/>
  <c r="J19" i="7"/>
  <c r="K19" i="7"/>
  <c r="C19" i="7"/>
  <c r="D29" i="20"/>
  <c r="E29" i="20"/>
  <c r="F29" i="20"/>
  <c r="C29" i="20"/>
  <c r="G28" i="20"/>
  <c r="G27" i="20"/>
  <c r="M34" i="2"/>
  <c r="K15" i="10"/>
  <c r="K16" i="10"/>
  <c r="K17" i="10"/>
  <c r="K18" i="10"/>
  <c r="K19" i="10"/>
  <c r="K14" i="10"/>
  <c r="G29" i="20" l="1"/>
  <c r="L74" i="3"/>
  <c r="D15" i="4"/>
  <c r="C20" i="10" l="1"/>
  <c r="E69" i="12"/>
  <c r="E65" i="12"/>
  <c r="E64" i="12"/>
  <c r="E74" i="12"/>
  <c r="E73" i="12"/>
  <c r="E72" i="12"/>
  <c r="E25" i="6"/>
  <c r="E20" i="6"/>
  <c r="E15" i="6"/>
  <c r="H138" i="7"/>
  <c r="E75" i="12" l="1"/>
  <c r="C75" i="12" l="1"/>
  <c r="D75" i="12"/>
  <c r="M73" i="3" l="1"/>
  <c r="C39" i="3" l="1"/>
  <c r="M39" i="3" s="1"/>
  <c r="G20" i="10" l="1"/>
  <c r="M14" i="2"/>
  <c r="D20" i="10"/>
  <c r="E20" i="10"/>
  <c r="F20" i="10"/>
  <c r="H20" i="10"/>
  <c r="I20" i="10"/>
  <c r="J20" i="10"/>
  <c r="K20" i="10" l="1"/>
  <c r="M42" i="4"/>
  <c r="M41" i="4"/>
  <c r="M34" i="4"/>
  <c r="D60" i="4"/>
  <c r="E60" i="4"/>
  <c r="C60" i="4"/>
  <c r="C15" i="4"/>
  <c r="C41" i="11" l="1"/>
  <c r="D25" i="6"/>
  <c r="F25" i="6"/>
  <c r="G25" i="6"/>
  <c r="H25" i="6"/>
  <c r="I25" i="6"/>
  <c r="J25" i="6"/>
  <c r="K25" i="6"/>
  <c r="L25" i="6"/>
  <c r="M25" i="6"/>
  <c r="D20" i="6"/>
  <c r="F20" i="6"/>
  <c r="G20" i="6"/>
  <c r="H20" i="6"/>
  <c r="I20" i="6"/>
  <c r="J20" i="6"/>
  <c r="K20" i="6"/>
  <c r="L20" i="6"/>
  <c r="M20" i="6"/>
  <c r="F15" i="6"/>
  <c r="G15" i="6"/>
  <c r="H15" i="6"/>
  <c r="I15" i="6"/>
  <c r="J15" i="6"/>
  <c r="K15" i="6"/>
  <c r="L15" i="6"/>
  <c r="C15" i="6"/>
  <c r="D15" i="6"/>
  <c r="M36" i="8" l="1"/>
  <c r="M30" i="8"/>
  <c r="M31" i="8"/>
  <c r="M32" i="8"/>
  <c r="M33" i="8"/>
  <c r="M34" i="8"/>
  <c r="M29" i="8"/>
  <c r="M35" i="8" s="1"/>
  <c r="D41" i="3" l="1"/>
  <c r="F41" i="3"/>
  <c r="E41" i="3"/>
  <c r="G41" i="3"/>
  <c r="H41" i="3"/>
  <c r="I41" i="3"/>
  <c r="J41" i="3"/>
  <c r="K41" i="3"/>
  <c r="L41" i="3"/>
  <c r="C41" i="3"/>
  <c r="F26" i="3"/>
  <c r="D26" i="3"/>
  <c r="E26" i="3"/>
  <c r="G26" i="3"/>
  <c r="H26" i="3"/>
  <c r="I26" i="3"/>
  <c r="J26" i="3"/>
  <c r="K26" i="3"/>
  <c r="L26" i="3"/>
  <c r="C26" i="3"/>
  <c r="M13" i="3"/>
  <c r="M26" i="3" l="1"/>
  <c r="M41" i="3"/>
  <c r="M17" i="8" l="1"/>
  <c r="M16" i="2" l="1"/>
  <c r="M14" i="6"/>
  <c r="M13" i="6"/>
  <c r="M18" i="8"/>
  <c r="M15" i="6" l="1"/>
  <c r="C20" i="6" l="1"/>
  <c r="C138" i="7" l="1"/>
  <c r="D138" i="7"/>
  <c r="E138" i="7"/>
  <c r="F138" i="7"/>
  <c r="G138" i="7"/>
  <c r="C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tc={B485C050-67CE-5443-B332-6559F405030F}</author>
  </authors>
  <commentList>
    <comment ref="L60" authorId="0" shapeId="0" xr:uid="{B485C050-67CE-5443-B332-6559F405030F}">
      <text>
        <t>[Threaded comment]
Your version of Excel allows you to read this threaded comment; however, any edits to it will get removed if the file is opened in a newer version of Excel. Learn more: https://go.microsoft.com/fwlink/?linkid=870924
Comment:
    This is a bit confusing, I would recommend putting all values, so that it is clear how you are getting to the values in the 2024 column.. if I add up only the two columns they dont add up to what you have in 2024. And I assume it is because Its adding up the other sites.. Anyway, it reads a bit confusing</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<sst xmlns="http://schemas.openxmlformats.org/spreadsheetml/2006/main" count="3412" uniqueCount="1855">
  <si>
    <t>HOME | 2025 Sustainability Databook</t>
  </si>
  <si>
    <t>Equinox Gold Corp.</t>
  </si>
  <si>
    <t>Supporting data for the 2025 Sustainability Report</t>
  </si>
  <si>
    <t>About this Databook</t>
  </si>
  <si>
    <t>This databook is designed to enhance transparency, support data verification, and enable stakeholders to explore Equinox Gold’s sustainability performance in detail.
It has been prepared in alignment with GRI Standards (2021), GRI 14: Mining Sector Standard, and SASB Metals &amp; Mining Industry Standards (2023).</t>
  </si>
  <si>
    <t>How to Use this Databook</t>
  </si>
  <si>
    <t>This databook provides detailed quantitative data supporting the 2025 Sustainability Report. Data is organized by material topic and aligned with GRI and SASB disclosures, with references provided to facilitate traceability and assurance.</t>
  </si>
  <si>
    <t>Navigation Table</t>
  </si>
  <si>
    <t>Sheet</t>
  </si>
  <si>
    <t>Table / Description</t>
  </si>
  <si>
    <t>Disclosures Included</t>
  </si>
  <si>
    <t>GRI Content Index</t>
  </si>
  <si>
    <t>GRI Disclosures, Location, Omissions and Sector Standard Reference</t>
  </si>
  <si>
    <t>GRI Standards and GRI 14. Mining Sector</t>
  </si>
  <si>
    <t>SASB Content Index</t>
  </si>
  <si>
    <t>SASB Metrics, Location, Omissions and Sector Standard Reference</t>
  </si>
  <si>
    <t>SASB 2023 Metals and Mining Industry Standards</t>
  </si>
  <si>
    <t>Performance Summary</t>
  </si>
  <si>
    <t>2025 Sustainability Performance Summary</t>
  </si>
  <si>
    <t>Overview</t>
  </si>
  <si>
    <t>Reporting Scope</t>
  </si>
  <si>
    <t>GRI 2-2</t>
  </si>
  <si>
    <t>Geographic Classification: Definition of 'Local'</t>
  </si>
  <si>
    <t>GRI 14.9.6</t>
  </si>
  <si>
    <t>Summary of Restated Information</t>
  </si>
  <si>
    <t>GRI 2-4</t>
  </si>
  <si>
    <t>Gold Production FY2025</t>
  </si>
  <si>
    <t>EM-MM-000.A</t>
  </si>
  <si>
    <t>Acronyms</t>
  </si>
  <si>
    <t>-</t>
  </si>
  <si>
    <t>Terms and Definitions</t>
  </si>
  <si>
    <t>Biodiversity</t>
  </si>
  <si>
    <t>Biodiversity Overview</t>
  </si>
  <si>
    <t>GRI 101-5 (14.4.5); SASB EM-MM-160a.3</t>
  </si>
  <si>
    <t>Disturbance and Rehabilitation by Mine Site</t>
  </si>
  <si>
    <t>GRI 101-2, 14.8.4, 14.8.5, 14.8.6, 14.8.7, 14.8.8, 14.8.9</t>
  </si>
  <si>
    <t>Business Ethics</t>
  </si>
  <si>
    <t>Whistleblower Reports</t>
  </si>
  <si>
    <t>GRI 2-16</t>
  </si>
  <si>
    <t>Compliance with Laws and Regulations</t>
  </si>
  <si>
    <t>GRI 2-27</t>
  </si>
  <si>
    <t>Operations Assessed for Risks Related to Corruption</t>
  </si>
  <si>
    <t>GRI 205-1 (14.22.2)</t>
  </si>
  <si>
    <t>Confirmed Incidents of Corruption and Actions Taken</t>
  </si>
  <si>
    <t>GRI 205-3 (14.22.4)</t>
  </si>
  <si>
    <t>Production in Countries that have the 20 Lowest Rankings in Transparency International’s Corruption Perception Index</t>
  </si>
  <si>
    <t>EM-MM-510a.2</t>
  </si>
  <si>
    <t>Climate</t>
  </si>
  <si>
    <t>Energy Consumption</t>
  </si>
  <si>
    <t>GRI 302-1 (14.1.2); SASB EM-MM-130a.1</t>
  </si>
  <si>
    <t>Energy Intensity</t>
  </si>
  <si>
    <t>GRI 302-3 (14.1.4)</t>
  </si>
  <si>
    <t>Scope 1 GHG Emissions by Mine Site</t>
  </si>
  <si>
    <t>GRI 305-1 (14.1.5); &amp; SASB EM-MM-110a.1</t>
  </si>
  <si>
    <t>Scope 2 GHG Emissions by Mine Site</t>
  </si>
  <si>
    <t>GRI 305-2 (14.1.6)</t>
  </si>
  <si>
    <t>GHG Emissions Intensity by Mine Site</t>
  </si>
  <si>
    <t>GRI 305-5 (14.1.9)</t>
  </si>
  <si>
    <t>Reduction of GHG Emissions</t>
  </si>
  <si>
    <t>GRI 305-4 (14.1.8)</t>
  </si>
  <si>
    <t>Significant Air Emissions by Mine Site</t>
  </si>
  <si>
    <t>GRI 305-7 (14.3.2)</t>
  </si>
  <si>
    <t>Economic Contributions</t>
  </si>
  <si>
    <t>Direct Economic Value Generated and Distributed by Region</t>
  </si>
  <si>
    <t>GRI 201-1 (14.9.2, 14.23.2)</t>
  </si>
  <si>
    <t>Human Rights</t>
  </si>
  <si>
    <t>Security Personnel in CAHRAs Trained in Human Rights</t>
  </si>
  <si>
    <t>GRI 410-1 (14.14.2)</t>
  </si>
  <si>
    <t>Reserves in or Near Areas of Conflict</t>
  </si>
  <si>
    <t>GRI 14.25.2; SASB EM-MM-210a.2</t>
  </si>
  <si>
    <t>Risk of Forced and Child Labor</t>
  </si>
  <si>
    <t>GRI 408-1 (14.18.2), 409-1 (14.19.2)</t>
  </si>
  <si>
    <t>Indigenous and Communities</t>
  </si>
  <si>
    <t>Community Engagement, Impact Assessments, and Development Programs</t>
  </si>
  <si>
    <t>GRI 413-01 (14.10.2)</t>
  </si>
  <si>
    <t>Grievances from Local Communities</t>
  </si>
  <si>
    <t>GRI 14.10.4</t>
  </si>
  <si>
    <t>Incidents of Violations Involving Rights of Indigenous Peoples</t>
  </si>
  <si>
    <t>GRI 411-1 (14.11.2)</t>
  </si>
  <si>
    <t>Reserves in or Near Indigenous Land</t>
  </si>
  <si>
    <t>GRI 14.11.3; SASB EM-MM-210a.2</t>
  </si>
  <si>
    <t xml:space="preserve">Free, Prior, and Informed Consent (FPIC) </t>
  </si>
  <si>
    <t>GRI 14.11.4</t>
  </si>
  <si>
    <t>Resettlement</t>
  </si>
  <si>
    <t>GRI 14.12.2</t>
  </si>
  <si>
    <t>Conflicts or Violations of Land and Resource Rights</t>
  </si>
  <si>
    <t>GRI 14.12.3</t>
  </si>
  <si>
    <t>Non-technical Delays</t>
  </si>
  <si>
    <t>SASB EM-MM-210b.2</t>
  </si>
  <si>
    <t>OHS</t>
  </si>
  <si>
    <t>Work-Related Injuries</t>
  </si>
  <si>
    <t>GRI 403-9 (14.16.10)</t>
  </si>
  <si>
    <t>Work-Related Ill Health</t>
  </si>
  <si>
    <t>GRI 403-10 (14.16.11)</t>
  </si>
  <si>
    <t>All-incidence rate</t>
  </si>
  <si>
    <t>SASB EM-MM-320a.1</t>
  </si>
  <si>
    <t>People</t>
  </si>
  <si>
    <t>Employee Profile</t>
  </si>
  <si>
    <t>GRI 2-7</t>
  </si>
  <si>
    <t>Workers Hired From the Local Community at the Mine-site Level</t>
  </si>
  <si>
    <t>Diversity of Employees</t>
  </si>
  <si>
    <t>GRI 405-1 (14.21.5)</t>
  </si>
  <si>
    <t>New Employee Hires and Employee Turnover</t>
  </si>
  <si>
    <t>GRI 401-1 (14.17.3)</t>
  </si>
  <si>
    <t>Parental Leave</t>
  </si>
  <si>
    <t>GRI 401-3 (14.17.5, 14.21.3)</t>
  </si>
  <si>
    <t>Ratio of Basic Salary and Remuneration of Women to Men</t>
  </si>
  <si>
    <t>GRI 405-2 (14.21.6)</t>
  </si>
  <si>
    <t>Collective Bargaining Agreements</t>
  </si>
  <si>
    <t>GRI 2-30; SASB EM-MM-310a.1</t>
  </si>
  <si>
    <t>Total Workforce</t>
  </si>
  <si>
    <t>GRI 2-7; 2-8; SASB EM-MM-000.B</t>
  </si>
  <si>
    <t>Strikes and Lockouts</t>
  </si>
  <si>
    <t>GRI 14.20.3; SASB EM-MM-310a.2</t>
  </si>
  <si>
    <t>Incidents of Discrimination</t>
  </si>
  <si>
    <t>GRI 406-1 (14.21.7)</t>
  </si>
  <si>
    <t>Responsible Sourcing</t>
  </si>
  <si>
    <t>Proportion of Spending on Local Suppliers by Mine Site</t>
  </si>
  <si>
    <t>GRI 204-1 (14.9.5)</t>
  </si>
  <si>
    <t>Artisanal and Small-Scale Mining</t>
  </si>
  <si>
    <t>GRI 14.13.2, 14.13.3, 14.23.8</t>
  </si>
  <si>
    <t>Waste</t>
  </si>
  <si>
    <t>Waste Generated by Mine Site</t>
  </si>
  <si>
    <t>GRI 306-3 (14.5.4); SASB EM-MM-150a.4; EM-MM-150a.5; EM-MM-150a.6; EM-MM-150a.7</t>
  </si>
  <si>
    <t>Waste Diverted from Disposal by Mine Site</t>
  </si>
  <si>
    <t>GRI 306-4 (14.5.5); SASB EM-MM-150.8</t>
  </si>
  <si>
    <t>Waste Directed to Disposal by Mine Site</t>
  </si>
  <si>
    <t>GRI 306-5 (14.5.6)</t>
  </si>
  <si>
    <t>Significant incidents associated with hazardous materials and waste management</t>
  </si>
  <si>
    <t>GRI 306-3_2016 (14.15.2); SASB EM-MM-150a.9</t>
  </si>
  <si>
    <t>Critical Incidents</t>
  </si>
  <si>
    <t>GRI 14.15.3, 14.15.4</t>
  </si>
  <si>
    <t>Water</t>
  </si>
  <si>
    <t>Water Withdrawal</t>
  </si>
  <si>
    <t>GRI 303-3 (14.7.4); SASB EM-MM-140a.1</t>
  </si>
  <si>
    <t>Water Discharge</t>
  </si>
  <si>
    <t>GRI 303-4 (14.7.5)</t>
  </si>
  <si>
    <t>Mine sites where Acid Rock Drainage is Predicted to Occur,  Actively Mitigated, and Under Treatment or Remediation</t>
  </si>
  <si>
    <t>GRI 14.7.1; SASB EM-MM-160a.2</t>
  </si>
  <si>
    <t>Incidents of non-compliance associated with water quality permits, standards and regulations</t>
  </si>
  <si>
    <t>SASB EM-MM-140a.2</t>
  </si>
  <si>
    <t>Facilities Inventory</t>
  </si>
  <si>
    <t>Tailings Storage Facilities Inventory Table</t>
  </si>
  <si>
    <t>GRI 14 14.6.2, 14.6.3; SASB EM-MM-540a.1</t>
  </si>
  <si>
    <t>Heap Leach Facilities Inventory Table</t>
  </si>
  <si>
    <t>GRI CONTENT INDEX</t>
  </si>
  <si>
    <t>Statement of use</t>
  </si>
  <si>
    <t>Equinox Gold Corp. has reported in accordance with the GRI Standards for the period January 1, 2025 - December 31, 2025</t>
  </si>
  <si>
    <t>GRI 1 used</t>
  </si>
  <si>
    <t>GRI 1: Foundation 2021</t>
  </si>
  <si>
    <t>Applicable GRI Sector Standard</t>
  </si>
  <si>
    <t>GRI 14: Mining Sector 2024</t>
  </si>
  <si>
    <t>GRI STANDARD/ 
OTHER SOURCE</t>
  </si>
  <si>
    <t>DISCLOSURE</t>
  </si>
  <si>
    <t>LOCATION</t>
  </si>
  <si>
    <t>GRI SECTOR STANDARD REF. NO.</t>
  </si>
  <si>
    <t>General disclosures</t>
  </si>
  <si>
    <t xml:space="preserve">GRI 2: General Disclosures 2021
</t>
  </si>
  <si>
    <t>2-1 Organizational details</t>
  </si>
  <si>
    <t>*2025 Sustainability Report &gt; 1. General Overview &gt; About Equinox Gold &gt; Company Profile and Operating Footprint (https://www.equinoxgold.com/wp-content/uploads/2026/06/EQX-2025-Sustainability-Report.pdf)</t>
  </si>
  <si>
    <t>2-2 Entities included in the organization’s sustainability reporting</t>
  </si>
  <si>
    <t>*2025 Sustainability Report &gt; 1. General Overview &gt; About this Report (https://www.equinoxgold.com/wp-content/uploads/2026/06/EQX-2025-Sustainability-Report.pdf)
*2025 Sustainability Databook &gt; Overview &gt; Reporting Scope
*Annual Information Form &gt; Subsidiaries, p.7 (https://www.equinoxgold.com/wp-content/uploads/2026/03/2026-AIF.pdf)</t>
  </si>
  <si>
    <t>2-3 Reporting period, frequency and contact point</t>
  </si>
  <si>
    <t>*2025 Sustainability Report &gt; 1. General Overview &gt; About this Report &gt; Reporting Scope (https://www.equinoxgold.com/wp-content/uploads/2026/06/EQX-2025-Sustainability-Report.pdf)</t>
  </si>
  <si>
    <t>2-4 Restatements of information</t>
  </si>
  <si>
    <t>*2025 Sustainability Report &gt; 1. General Overview &gt; About this Report &gt; Basis for Preparation and Statement of Use (https://www.equinoxgold.com/wp-content/uploads/2026/06/EQX-2025-Sustainability-Report.pdf)
*2025 Sutainability Databook &gt; Overview &gt; Summary of Restated Information</t>
  </si>
  <si>
    <t>2-5 External assurance</t>
  </si>
  <si>
    <t>*2025 Sustainability Report &gt; 1. General Overview &gt; About this Report &gt; Basis for Preparation and Statement of Use (https://www.equinoxgold.com/wp-content/uploads/2026/06/EQX-2025-Sustainability-Report.pdf)</t>
  </si>
  <si>
    <t>2-6 Activities, value chain and other business relationships</t>
  </si>
  <si>
    <t>*2025 Sustainability Report &gt; 1. General Overview &gt; About Equinox Gold &gt; Value Chain Overview (https://www.equinoxgold.com/wp-content/uploads/2026/06/EQX-2025-Sustainability-Report.pdf)</t>
  </si>
  <si>
    <t>2-7 Employees</t>
  </si>
  <si>
    <t>*2025 Sustainability Report &gt; 3. Social &gt; People and Organizational Culture (https://www.equinoxgold.com/wp-content/uploads/2026/06/EQX-2025-Sustainability-Report.pdf)
*2025 Sustainability Databook &gt; People &gt; Employee Profile</t>
  </si>
  <si>
    <t>2-8 Workers who are not employees</t>
  </si>
  <si>
    <t>*2025 Sustainability Report &gt; 3. Social &gt; People and Organizational Culture (https://www.equinoxgold.com/wp-content/uploads/2026/06/EQX-2025-Sustainability-Report.pdf)
*2025 Sustainability Databook &gt; People &gt; Workforce</t>
  </si>
  <si>
    <t>2-9 Governance structure and composition</t>
  </si>
  <si>
    <t>*Sustainability Management Approach &gt; Sustainability Governance (https://www.equinoxgold.com/wp-content/uploads/2026/06/EQX-2025-Sustainability-Management-Approach.pdf)
*Management Information Circular (https://www.equinoxgold.com/wp-content/uploads/2026/03/2026-Management-Information-Circular.pdf)
*Board Mandate (https://www.equinoxgold.com/wp-content/uploads/2023/03/BoardMandate.pdf)</t>
  </si>
  <si>
    <t>2-10 Nomination and selection of the highest governance body</t>
  </si>
  <si>
    <t>*Compensation, Nomination, and Governance Committe Charter (https://www.equinoxgold.com/wp-content/uploads/2023/03/CompensationandNominationCommitteeCharter.pdf)
*Sustainability Management Approach &gt; Sustainability Governance (https://www.equinoxgold.com/wp-content/uploads/2026/06/EQX-2025-Sustainability-Management-Approach.pdf)</t>
  </si>
  <si>
    <t>2-11 Chair of the highest governance body</t>
  </si>
  <si>
    <t>*Board Mandate (https://www.equinoxgold.com/wp-content/uploads/2023/03/BoardMandate.pdf)
*Position Description of Chair (https://www.equinoxgold.com/wp-content/uploads/2023/03/PositionDescriptions.pdf)
*Sustainability Management Approach &gt; Sustainability Governance (https://www.equinoxgold.com/wp-content/uploads/2026/06/EQX-2025-Sustainability-Management-Approach.pdf)</t>
  </si>
  <si>
    <t>2-12 Role of the highest governance body in overseeing the management of impacts</t>
  </si>
  <si>
    <t>*Board Mandate (https://www.equinoxgold.com/wp-content/uploads/2023/03/BoardMandate.pdf)
*Sustainability Management Approach &gt; Sustainability Governance (https://www.equinoxgold.com/wp-content/uploads/2026/06/EQX-2025-Sustainability-Management-Approach.pdf)</t>
  </si>
  <si>
    <t>2-13 Delegation of responsibility for managing impacts</t>
  </si>
  <si>
    <t xml:space="preserve">*Sustainability Management Approach &gt; Sustainability Governance (https://www.equinoxgold.com/wp-content/uploads/2026/06/EQX-2025-Sustainability-Management-Approach.pdf) </t>
  </si>
  <si>
    <t>2-14 Role of the highest governance body in sustainability reporting</t>
  </si>
  <si>
    <t>*Board Mandate (https://www.equinoxgold.com/wp-content/uploads/2023/03/BoardMandate.pdf)
*Sustainability Management Approach &gt; Business Ethics, Compliance and Transparency (https://www.equinoxgold.com/wp-content/uploads/2026/06/EQX-2025-Sustainability-Management-Approach.pdf)</t>
  </si>
  <si>
    <t>2-15 Conflicts of interest</t>
  </si>
  <si>
    <t>*Code of Conduct and Business Ethics  &gt; 6. Conflicts of Interest and Corporate Opportunity (Ownership of Equity in a Competitor Company) (https://www.equinoxgold.com/wp-content/uploads/2023/03/CodeofConductandBusinessEthics.pdf)
*Sustainability Management Approach &gt; Sustainability Governance (https://www.equinoxgold.com/wp-content/uploads/2026/06/EQX-2025-Sustainability-Management-Approach.pdf)</t>
  </si>
  <si>
    <t>2-16 Communication of critical concerns</t>
  </si>
  <si>
    <t>*Code of Conduct and Business Ethics  &gt; 3. Reporting Concerns (https://www.equinoxgold.com/wp-content/uploads/2023/03/CodeofConductandBusinessEthics.pdf)
*Sustainability Management Approach &gt; Business Ethics, Compliance and Transparency (https://www.equinoxgold.com/wp-content/uploads/2026/06/EQX-2025-Sustainability-Management-Approach.pdf)
*2025 Sustainability Report &gt; 2. Governance &gt; Business Ethics, Compliance and Transparency (https://www.equinoxgold.com/wp-content/uploads/2026/06/EQX-2025-Sustainability-Report.pdf)
*2025 Sustainability Databook &gt; Governance &gt; Whistleblower Reports</t>
  </si>
  <si>
    <t>2-17 Collective knowledge of the highest governance body</t>
  </si>
  <si>
    <t>*Management Information Circular (https://www.equinoxgold.com/wp-content/uploads/2026/03/2026-Management-Information-Circular.pdf)
*Sustainability Management Approach &gt; Sustainability Governance (https://www.equinoxgold.com/wp-content/uploads/2026/06/EQX-2025-Sustainability-Management-Approach.pdf)</t>
  </si>
  <si>
    <t>2-18 Evaluation of the performance of the highest governance body</t>
  </si>
  <si>
    <t>*Compensation, Nomination, and Governance Committe Charter (https://www.equinoxgold.com/wp-content/uploads/2023/03/CompensationandNominationCommitteeCharter.pdf)
*Management Information Circular (https://www.equinoxgold.com/wp-content/uploads/2026/03/2026-Management-Information-Circular.pdf)
*Sustainability Management Approach &gt; Sustainability Governance (https://www.equinoxgold.com/wp-content/uploads/2026/06/EQX-2025-Sustainability-Management-Approach.pdf)</t>
  </si>
  <si>
    <t>2-19 Remuneration policies</t>
  </si>
  <si>
    <t>*Compensation, Nomination, and Governance Committe Charter (https://www.equinoxgold.com/wp-content/uploads/2023/03/CompensationandNominationCommitteeCharter.pdf)
*Management Information Circular (https://www.equinoxgold.com/wp-content/uploads/2026/03/2026-Management-Information-Circular.pdf)</t>
  </si>
  <si>
    <t>2-20 Process to determine remuneration</t>
  </si>
  <si>
    <t>2-21 Annual total compensation ratio</t>
  </si>
  <si>
    <t>0.0027 annual total compensation ratio for the organization’s highest-paid individual to the median annual total compensation for all employees (excluding the highest-paid individual).</t>
  </si>
  <si>
    <t>2-22 Statement on sustainable development strategy</t>
  </si>
  <si>
    <t>*2025 Sustainability Report &gt; 1. General Overview &gt; Executive Overview (https://www.equinoxgold.com/wp-content/uploads/2026/06/EQX-2025-Sustainability-Report.pdf)</t>
  </si>
  <si>
    <t>2-23 Policy commitments</t>
  </si>
  <si>
    <t>*2025 Sustainability Report &gt; 1. General Overview &gt; Sustainability at Equinox Gold (https://www.equinoxgold.com/wp-content/uploads/2026/06/EQX-2025-Sustainability-Report.pdf)
*Sustainability Management Approach &gt; Sustainability Governance (https://www.equinoxgold.com/wp-content/uploads/2026/06/EQX-2025-Sustainability-Management-Approach.pdf)</t>
  </si>
  <si>
    <t>2-24 Embedding policy commitments</t>
  </si>
  <si>
    <t>2-25 Processes to remediate negative impacts</t>
  </si>
  <si>
    <t>2-26 Mechanisms for seeking advice and raising concerns</t>
  </si>
  <si>
    <t>*2025 Sustainability Report &gt; 2. Governance &gt; Business Ethics, Compliance and Transparency (https://www.equinoxgold.com/wp-content/uploads/2026/06/EQX-2025-Sustainability-Report.pdf)
*Sustainability Management Approach &gt; Sustainability Governance; and Business Ethics, Compliance, and Transparency (https://www.equinoxgold.com/wp-content/uploads/2026/06/EQX-2025-Sustainability-Management-Approach.pdf)</t>
  </si>
  <si>
    <t>2-27 Compliance with laws and regulations</t>
  </si>
  <si>
    <t>*Sustainability Management Approach &gt; Business Ethics, Compliance, and Transparency (https://www.equinoxgold.com/wp-content/uploads/2026/06/EQX-2025-Sustainability-Management-Approach.pdf)
*2025 Sustainability Report &gt; 2. Governance &gt; Business Ethics, Compliance, and Transparency (https://www.equinoxgold.com/wp-content/uploads/2026/06/EQX-2025-Sustainability-Report.pdf)
*2025 Sustainability Databook &gt; Governance &gt; Compliance with Laws and Regulations</t>
  </si>
  <si>
    <t>2-28 Membership associations</t>
  </si>
  <si>
    <t>*2025 Sustainability Report &gt; 1. General Overview &gt; Sustainability at Equinox Gold &gt; Memberships and Standards (https://www.equinoxgold.com/wp-content/uploads/2026/06/EQX-2025-Sustainability-Report.pdf)</t>
  </si>
  <si>
    <t>2-29 Approach to stakeholder engagement</t>
  </si>
  <si>
    <t>*2025 Sustainability Report &gt; 1. General Overview &gt; Sustainability at Equinox Gold &gt; Stakeholder Engagement (https://www.equinoxgold.com/wp-content/uploads/2026/06/EQX-2025-Sustainability-Report.pdf)</t>
  </si>
  <si>
    <t>2-30 Collective bargaining agreements</t>
  </si>
  <si>
    <t>*2025 Sustainability Report &gt; 3. Social &gt; People and Organizational Culture (https://www.equinoxgold.com/wp-content/uploads/2026/06/EQX-2025-Sustainability-Report.pdf)
*2025 Sustainability Databook &gt; People &gt; Collective Bargaining Agreements</t>
  </si>
  <si>
    <t>Mine-site disclosure</t>
  </si>
  <si>
    <t>*2025 Sustainability Databook &gt; Biodiversity &gt; Biodiversity Overview</t>
  </si>
  <si>
    <t>14.0.1</t>
  </si>
  <si>
    <t xml:space="preserve">Material topics </t>
  </si>
  <si>
    <t xml:space="preserve">GRI 3: Material Topics 2021
</t>
  </si>
  <si>
    <t>3-1 Process to determine material topics</t>
  </si>
  <si>
    <t>*2025 Sustainability Report &gt; 1. General Overview &gt; Sustainability at Equinox Gold &gt; Materiality Assessment and Priority Topics (https://www.equinoxgold.com/wp-content/uploads/2026/06/EQX-2025-Sustainability-Report.pdf)</t>
  </si>
  <si>
    <t>3-2 List of material topics</t>
  </si>
  <si>
    <t>14.1 Climate change</t>
  </si>
  <si>
    <t>GRI 3: Material Topics 2021</t>
  </si>
  <si>
    <t>3-3 Management of material topics</t>
  </si>
  <si>
    <t>*Sustainability Management Approach &gt; Emissions, Energy Transition, and Climate Change (https://www.equinoxgold.com/wp-content/uploads/2026/06/EQX-2025-Sustainability-Management-Approach.pdf)</t>
  </si>
  <si>
    <t>14.1.1</t>
  </si>
  <si>
    <t>GRI 302: Energy 
2016</t>
  </si>
  <si>
    <t>302-1 Energy consumption within the organization</t>
  </si>
  <si>
    <t>*2025 Sustainability Report &gt; 4. Environment  &gt; Emissions, Energy Transition, and Climate Change (https://www.equinoxgold.com/wp-content/uploads/2026/06/EQX-2025-Sustainability-Report.pdf)
*2025 Sustainability Databook &gt; Climate &gt; Energy Consumption</t>
  </si>
  <si>
    <t>14.1.2</t>
  </si>
  <si>
    <t>302-2 Energy consumption outside of the organization</t>
  </si>
  <si>
    <t>Not reported.</t>
  </si>
  <si>
    <t>14.1.3</t>
  </si>
  <si>
    <t>302-3 Energy intensity</t>
  </si>
  <si>
    <t>*2025 Sustainability Report &gt; 4. Environment  &gt; Emissions, Energy Transition, and Climate Change (https://www.equinoxgold.com/wp-content/uploads/2026/06/EQX-2025-Sustainability-Report.pdf)
*2025 Sustainability Databook &gt; Climate &gt; Energy Intensity</t>
  </si>
  <si>
    <t>14.1.4</t>
  </si>
  <si>
    <t>GRI 305: 
Emissions 2016</t>
  </si>
  <si>
    <t>305-1 Direct (Scope 1) GHG emissions</t>
  </si>
  <si>
    <t>*2025 Sustainability Report &gt; 4. Environment &gt; Emissions, Energy Transition, and Climate Change (https://www.equinoxgold.com/wp-content/uploads/2026/06/EQX-2025-Sustainability-Report.pdf)
*2025 Sustainability Databook &gt; Climate &gt; Scope 1 GHG Emissions by Mine Site</t>
  </si>
  <si>
    <t>14.1.5</t>
  </si>
  <si>
    <t>305-2 Energy indirect (Scope 2) GHG emissions</t>
  </si>
  <si>
    <t>2025 Sustainability Report &gt; 4. Environment  &gt; Emissions, Energy Transition, and Climate Change (https://www.equinoxgold.com/wp-content/uploads/2026/06/EQX-2025-Sustainability-Report.pdf)
*2025 Sustainability Databook &gt; Climate &gt; Scope 2 GHG Emissions by Mine Site</t>
  </si>
  <si>
    <t>14.1.6</t>
  </si>
  <si>
    <t>305-3 Other indirect (Scope 3) GHG emissions</t>
  </si>
  <si>
    <t>14.1.7</t>
  </si>
  <si>
    <t>305-4 GHG emissions intensity</t>
  </si>
  <si>
    <t>*2025 Sustainability Report &gt; 4. Environment  &gt; Emissions, Energy Transition, and Climate Change (https://www.equinoxgold.com/wp-content/uploads/2026/06/EQX-2025-Sustainability-Report.pdf)
*2025 Sustainability Databook &gt; Climate &gt; GHG Emissions Intensity by Mine Site</t>
  </si>
  <si>
    <t>14.1.8</t>
  </si>
  <si>
    <t>305-5 Reduction of GHG emissions</t>
  </si>
  <si>
    <t>*2025 Sustainability Report &gt; 4. Environment &gt; Emissions, Energy Transition, and Climate Change (https://www.equinoxgold.com/wp-content/uploads/2026/06/EQX-2025-Sustainability-Report.pdf)
*2025 Sustainability Databook &gt; Climate &gt; Reduction of GHG Emissions</t>
  </si>
  <si>
    <t>14.1.9</t>
  </si>
  <si>
    <t>14.3 Air emissions</t>
  </si>
  <si>
    <t>14.3.1</t>
  </si>
  <si>
    <t>GRI 305: Emissions 2016</t>
  </si>
  <si>
    <t>305-7 Nitrogen oxides (NOx), sulfur oxides (SOx), and other significant air emissions</t>
  </si>
  <si>
    <t>*2025 Sustainability Databook &gt; Climate &gt; Significant Air Emissions by Mine Site</t>
  </si>
  <si>
    <t>14.3.2</t>
  </si>
  <si>
    <t>14.4 Biodiversity</t>
  </si>
  <si>
    <t>*Sustainability Management Approach &gt; Biodiversity and Rehabilitation (https://www.equinoxgold.com/wp-content/uploads/2026/06/EQX-2025-Sustainability-Management-Approach.pdf)</t>
  </si>
  <si>
    <t>14.4.1</t>
  </si>
  <si>
    <t>GRI 101: Biodiversity 2024</t>
  </si>
  <si>
    <t>101-1 Policies to halt and reverse biodiversity loss</t>
  </si>
  <si>
    <t>14.4.2</t>
  </si>
  <si>
    <t>101-2 Management of biodiversity impacts</t>
  </si>
  <si>
    <t>14.4.3</t>
  </si>
  <si>
    <t>101-4 Identification of biodiversity impacts</t>
  </si>
  <si>
    <t>14.4.4</t>
  </si>
  <si>
    <t>101-5 Locations with biodiversity impacts</t>
  </si>
  <si>
    <t>*2025 Sustainability Report &gt; 4. Environment &gt; Biodiversity and Rehabilitation (https://www.equinoxgold.com/wp-content/uploads/2026/06/EQX-2025-Sustainability-Report.pdf)
*2025 Sustainability Databook &gt; Biodiversity &gt; Biodiversity Overview</t>
  </si>
  <si>
    <t>14.4.5</t>
  </si>
  <si>
    <t>101-6 Direct drivers of biodiversity loss</t>
  </si>
  <si>
    <t xml:space="preserve">*2025 Sustainability Report &gt; 4. Environment &gt; Biodiversity and Rehabilitation (https://www.equinoxgold.com/wp-content/uploads/2026/06/EQX-2025-Sustainability-Report.pdf) </t>
  </si>
  <si>
    <t>14.4.6</t>
  </si>
  <si>
    <t>101-7 Changes to the state of biodiversity</t>
  </si>
  <si>
    <t>14.4.7</t>
  </si>
  <si>
    <t>101-8 Ecosystem services</t>
  </si>
  <si>
    <t>*2025 Sustainability Report &gt; 4. Environment &gt; Biodiversity and Rehabilitation (https://www.equinoxgold.com/wp-content/uploads/2026/06/EQX-2025-Sustainability-Report.pdf)</t>
  </si>
  <si>
    <t>14.4.8</t>
  </si>
  <si>
    <t>14.5 Waste</t>
  </si>
  <si>
    <t>*Sustainability Management Approach &gt; Waste, Hazardous Materials, and Incident Management (https://www.equinoxgold.com/wp-content/uploads/2026/06/EQX-2025-Sustainability-Management-Approach.pdf)</t>
  </si>
  <si>
    <t>14.5.1</t>
  </si>
  <si>
    <t>GRI 306: Waste 2020</t>
  </si>
  <si>
    <t>306-1 Waste generation and significant waste-related impacts</t>
  </si>
  <si>
    <t>14.5.2</t>
  </si>
  <si>
    <t>306-2 Management of significant waste-related impacts</t>
  </si>
  <si>
    <t>14.5.3</t>
  </si>
  <si>
    <t>306-3 Waste generated</t>
  </si>
  <si>
    <t>*2025 Sustainability Report &gt; 4. Environment &gt; Waste, Hazardous Materials, and Incident Management (https://www.equinoxgold.com/wp-content/uploads/2026/06/EQX-2025-Sustainability-Report.pdf)
*2025 Sustainability Databook &gt; Waste &gt; Waste Generated by Mine Site</t>
  </si>
  <si>
    <t>14.5.4</t>
  </si>
  <si>
    <t>306-4 Waste diverted from disposal</t>
  </si>
  <si>
    <t>*2025 Sustainability Report &gt; 4. Environment &gt; Waste, Hazardous Materials, and Incident Management (https://www.equinoxgold.com/wp-content/uploads/2026/06/EQX-2025-Sustainability-Report.pdf)
*2025 Sustainability Databook &gt; Waste &gt; Waste Diverted from Disposal by Mine Site</t>
  </si>
  <si>
    <t>14.5.5</t>
  </si>
  <si>
    <t>306-5 Waste directed to disposal</t>
  </si>
  <si>
    <t>*2025 Sustainability Report &gt; 4. Environment &gt; Waste, Hazardous Materials, and Incident Management (https://www.equinoxgold.com/wp-content/uploads/2026/06/EQX-2025-Sustainability-Report.pdf)
*2025 Sustainability Databook &gt; Waste &gt; Waste Directed to Disposal by Mine Site</t>
  </si>
  <si>
    <t>14.5.6</t>
  </si>
  <si>
    <t>14.6 Tailings</t>
  </si>
  <si>
    <t>*Sustainability Management Approach &gt; Waste, Hazardous Materials and Incident Management (https://www.equinoxgold.com/wp-content/uploads/2026/06/EQX-2025-Sustainability-Management-Approach.pdf)</t>
  </si>
  <si>
    <t>14.6.1</t>
  </si>
  <si>
    <t>Tailings disposal methods</t>
  </si>
  <si>
    <t>14.6.2</t>
  </si>
  <si>
    <t>Tailings facilities</t>
  </si>
  <si>
    <t>*2025 Sustainability Databook &gt; Facilities Inventory &gt; Tailings Storage Facilities Inventory Table</t>
  </si>
  <si>
    <t>14.6.3</t>
  </si>
  <si>
    <t>14.7 Water and effluents</t>
  </si>
  <si>
    <t>*Sustainability Management Approach &gt; Water Stewardship (https://www.equinoxgold.com/wp-content/uploads/2026/06/EQX-2025-Sustainability-Management-Approach.pdf)
*2025 Sustainability Databook &gt; Water &gt; Percentage of Mine Sites where Acid Rock Drainage is Predicted to Occur, Actively Mitigated, and Under Treatment or Remediation</t>
  </si>
  <si>
    <t>14.7.1</t>
  </si>
  <si>
    <t>GRI 303: Water and Effluents 2018</t>
  </si>
  <si>
    <t>303-1 Interactions with water as a shared resource</t>
  </si>
  <si>
    <t xml:space="preserve">*Sustainability Management Approach &gt; Water Stewardship (https://www.equinoxgold.com/wp-content/uploads/2026/06/EQX-2025-Sustainability-Management-Approach.pdf) </t>
  </si>
  <si>
    <t>14.7.2</t>
  </si>
  <si>
    <t>303-2 Management of water discharge-related impacts</t>
  </si>
  <si>
    <t>*Sustainability Management Approach &gt; Water Stewardship (https://www.equinoxgold.com/wp-content/uploads/2026/06/EQX-2025-Sustainability-Management-Approach.pdf)</t>
  </si>
  <si>
    <t>14.7.3</t>
  </si>
  <si>
    <t>303-3 Water withdrawal</t>
  </si>
  <si>
    <t>*2025 Sustainability Report &gt; 4. Environment &gt; Water Stewardship (https://www.equinoxgold.com/wp-content/uploads/2026/06/EQX-2025-Sustainability-Report.pdf)
*2025 Sustainability Databook &gt; Water &gt; Water Withdrawal by Mine Site</t>
  </si>
  <si>
    <t>14.7.4</t>
  </si>
  <si>
    <t>303-4 Water discharge</t>
  </si>
  <si>
    <t>*2025 Sustainability Report &gt; 4. Environment &gt; Water Stewardship (https://www.equinoxgold.com/wp-content/uploads/2026/06/EQX-2025-Sustainability-Report.pdf)
*2025 Sustainability Databook &gt; Water &gt; Water Discharge by Mine Site</t>
  </si>
  <si>
    <t>14.7.5</t>
  </si>
  <si>
    <t>303-5 Water consumption</t>
  </si>
  <si>
    <t>14.7.6</t>
  </si>
  <si>
    <t>14.8 Closure and rehabilitation</t>
  </si>
  <si>
    <t>*Sustainability Management Approach &gt; Biodiversity and Rehabilitation; and Indigenous Peoples and Community Engagement (https://www.equinoxgold.com/wp-content/uploads/2026/06/EQX-2025-Sustainability-Management-Approach.pdf)</t>
  </si>
  <si>
    <t>14.8.1</t>
  </si>
  <si>
    <t>GRI 402: Labor/Management Relations 2016</t>
  </si>
  <si>
    <t>402-1 Minimum notice periods regarding operational changes</t>
  </si>
  <si>
    <t>No formally established minimum notice periods exist for employes and their representatives regarding significant operational changes beyond applicable legal requirements.</t>
  </si>
  <si>
    <t>14.8.2</t>
  </si>
  <si>
    <t>GRI 404: Training and Education 2016</t>
  </si>
  <si>
    <t>404-2 Programs for upgrading employee skills and transition assistance programs</t>
  </si>
  <si>
    <t>14.8.3</t>
  </si>
  <si>
    <t>Closure and rehabilitation of sites</t>
  </si>
  <si>
    <t>*2025 Sustainability Report &gt; 4. Environment &gt; Biodiversity and Rehabilitation (https://www.equinoxgold.com/wp-content/uploads/2026/06/EQX-2025-Sustainability-Report.pdf)
*2025 Sustainability Databook &gt; Biodiversity &gt; Disturbance &amp; Rehabilitation by Mine Site</t>
  </si>
  <si>
    <t>14.8.4</t>
  </si>
  <si>
    <t>Approval and review of closure and rehabilitations plans</t>
  </si>
  <si>
    <t>14.8.5</t>
  </si>
  <si>
    <t>Land disturbed and rehabilitated</t>
  </si>
  <si>
    <t>14.8.6</t>
  </si>
  <si>
    <t>Estimated life of mine</t>
  </si>
  <si>
    <t>*Technical Reports (https://www.equinoxgold.com/operating-mines/#technical-reports)</t>
  </si>
  <si>
    <t>14.8.7</t>
  </si>
  <si>
    <t>Financial provisions for closure and rehabilitation</t>
  </si>
  <si>
    <t>Closure cost estimates are included in our Consolidated Financial Statements for the years ended December 31, 2025 and 2024 &gt; 17. Reclamation and Closure Cost Provisions, p.51 (https://www.equinoxgold.com/wp-content/uploads/2026/02/EQX-2025.12.31-Financial-Statements-Final.pdf)</t>
  </si>
  <si>
    <t>14.8.8</t>
  </si>
  <si>
    <t>Post-mining transition</t>
  </si>
  <si>
    <t>*Sustainability Management Approach &gt; Indigenous Peoples and Community Engagement &gt; Mine Closure (https://www.equinoxgold.com/wp-content/uploads/2026/06/EQX-2025-Sustainability-Management-Approach.pdf)
*2025 Sustainability Report &gt; 4. Environment &gt; Biodiversity and Rehabilitation (https://www.equinoxgold.com/wp-content/uploads/2026/06/EQX-2025-Sustainability-Report.pdf)</t>
  </si>
  <si>
    <t>14.8.9</t>
  </si>
  <si>
    <t>14.9 Economic impacts</t>
  </si>
  <si>
    <t>*Sustainability Management Approach &gt; Responsible Sourcing and Supply Chain Management; and Indigenous Peoples and Community Engagement (https://www.equinoxgold.com/wp-content/uploads/2026/06/EQX-2025-Sustainability-Management-Approach.pdf)</t>
  </si>
  <si>
    <t>14.9.1</t>
  </si>
  <si>
    <t>GRI 201: Economic Performance 2016</t>
  </si>
  <si>
    <t>201-1 Direct economic value generated and distributed</t>
  </si>
  <si>
    <t>*2025 Sustainability Report &gt; 3. Social &gt; Economic Contributions (https://www.equinoxgold.com/wp-content/uploads/2026/06/EQX-2025-Sustainability-Report.pdf)
*2025 Sustainability Databook &gt; Economic Contributions &gt; Direct Economic Value Generated and Distributed by Region</t>
  </si>
  <si>
    <t>14.9.2</t>
  </si>
  <si>
    <t>GRI 203: Indirect Economic Impacts 2016</t>
  </si>
  <si>
    <t>203-1 Infrastructure investments and services supported</t>
  </si>
  <si>
    <t>*2025 Sustainability Report &gt; 3. Social &gt; Economic Contributions (https://www.equinoxgold.com/wp-content/uploads/2026/06/EQX-2025-Sustainability-Report.pdf)</t>
  </si>
  <si>
    <t>14.9.3</t>
  </si>
  <si>
    <t>203-2 Significant indirect economic impacts</t>
  </si>
  <si>
    <t>14.9.4</t>
  </si>
  <si>
    <t>GRI 204: Procurement Practices 2016</t>
  </si>
  <si>
    <t>204-1 Proportion of spending on local suppliers</t>
  </si>
  <si>
    <t>*2025 Sustainability Report &gt; 2. Governance &gt; Responsible Sourcing and Supply Chain Management (https://www.equinoxgold.com/wp-content/uploads/2026/06/EQX-2025-Sustainability-Report.pdf)
*2025 Sustainability Databook &gt; Responsible Sourcing &gt; Proportion of Spending on Local Suppliers by Mine Site</t>
  </si>
  <si>
    <t>14.9.5</t>
  </si>
  <si>
    <t>Local employment</t>
  </si>
  <si>
    <t>*2025 Sustainability Report &gt; 3. Social &gt; People and Organizational Culture (https://www.equinoxgold.com/wp-content/uploads/2026/06/EQX-2025-Sustainability-Report.pdf)
*2025 Sustainability Databook &gt; People &gt; Workers Hired From the Local Community at the Mine-site Level</t>
  </si>
  <si>
    <t>14.9.6</t>
  </si>
  <si>
    <t>14.10 Local communities</t>
  </si>
  <si>
    <t>*Sustainability Management Approach &gt; Indigenous Peoples and Community Engagement (https://www.equinoxgold.com/wp-content/uploads/2026/06/EQX-2025-Sustainability-Management-Approach.pdf)</t>
  </si>
  <si>
    <t>14.10.1</t>
  </si>
  <si>
    <t>GRI 413: Local Communities 2016</t>
  </si>
  <si>
    <t>413-1 Operations with local community engagement, impact assessments, and development programs</t>
  </si>
  <si>
    <t>*2025 Sustainability Report &gt; 3. Social&gt; Indigenous Peoples and Community Engagement (https://www.equinoxgold.com/wp-content/uploads/2026/06/EQX-2025-Sustainability-Report.pdf)
*2025 Sustainability Databook &gt; Indigenous and Communities &gt; Community Engagement, Impact Assessments, and Development Programs</t>
  </si>
  <si>
    <t>14.10.2</t>
  </si>
  <si>
    <t>413-2 Operations with significant actual and potential negative impacts on local communities</t>
  </si>
  <si>
    <t>*2025 Sustainability Report &gt; 3. Social&gt; Indigenous Peoples and Community Engagement (https://www.equinoxgold.com/wp-content/uploads/2026/06/EQX-2025-Sustainability-Report.pdf)</t>
  </si>
  <si>
    <t>14.10.3</t>
  </si>
  <si>
    <t>Grievances from local communities</t>
  </si>
  <si>
    <t>*2025 Sustainability Report &gt; 3. Social &gt; Indigenous Peoples and Community Engagement (https://www.equinoxgold.com/wp-content/uploads/2026/06/EQX-2025-Sustainability-Report.pdf) 
*2025 Sustainability Databook &gt; Indigenous and Communities &gt; Grievances from Local Communities</t>
  </si>
  <si>
    <t>14.10.4</t>
  </si>
  <si>
    <t>14.11 Rights of Indigenous Peoples</t>
  </si>
  <si>
    <t>*Sustainability Management Approach &gt;Indigenous Peoples and Community Engagement (https://www.equinoxgold.com/wp-content/uploads/2026/06/EQX-2025-Sustainability-Management-Approach.pdf)</t>
  </si>
  <si>
    <t>14.11.1</t>
  </si>
  <si>
    <t>GRI 411: Rights of Indigenous Peoples 2016</t>
  </si>
  <si>
    <t>411-1 Incidents of violations involving rights of Indigenous Peoples</t>
  </si>
  <si>
    <t>*2025 Sustainability Report &gt; 3. Social &gt; Indigenous Peoples and Community Engagement (https://www.equinoxgold.com/wp-content/uploads/2026/06/EQX-2025-Sustainability-Report.pdf)
*2025 Sustainability Databook &gt; Indigenous and Communities &gt; Incidents of Violations Involving Rights of Indigenous Peoples</t>
  </si>
  <si>
    <t>14.11.2</t>
  </si>
  <si>
    <t>Operations where Indigenous Peoples may be affected</t>
  </si>
  <si>
    <t>*2025 Sustainability Report &gt; 3. Social &gt; Indigenous Peoples and Community Engagement (https://www.equinoxgold.com/wp-content/uploads/2026/06/EQX-2025-Sustainability-Report.pdf)
*2025 Sustainability Databook &gt; Indigenous and Communities &gt; Reserves in or Near Indigenous Peoples Territories</t>
  </si>
  <si>
    <t>14.11.3</t>
  </si>
  <si>
    <t>Free, prior, and informed consent</t>
  </si>
  <si>
    <t xml:space="preserve">*2025 Sustainability Report &gt; 3. Social &gt; Indigenous Peoples and Community Engagement (https://www.equinoxgold.com/wp-content/uploads/2026/06/EQX-2025-Sustainability-Report.pdf)
*2025 Sustainability Databook &gt; Indigenous and Communities &gt; Free, Prior, and Informed Consent (FPIC) </t>
  </si>
  <si>
    <t>14.11.4</t>
  </si>
  <si>
    <t>14.12 Land and resource rights</t>
  </si>
  <si>
    <t>14.12.1</t>
  </si>
  <si>
    <t>Involuntary resettlement</t>
  </si>
  <si>
    <t>*2025 Sustainability Report &gt; 3. Social &gt;Indigenous Peoples and Community Engagement (https://www.equinoxgold.com/wp-content/uploads/2026/06/EQX-2025-Sustainability-Report.pdf)
*2025 Sustainability Databook &gt; Indigenous and Communities &gt; Resettlement</t>
  </si>
  <si>
    <t>14.12.2</t>
  </si>
  <si>
    <t>Violations of land and natural resource rights</t>
  </si>
  <si>
    <t>*2025 Sustainability Report &gt; 3. Social &gt; Indigenous Peoples and Community Engagement (https://www.equinoxgold.com/wp-content/uploads/2026/06/EQX-2025-Sustainability-Report.pdf)
*2025 Sustainability Databook &gt; Indigenous and Communities &gt; Conflicts or Violations of Land and Resource Rights</t>
  </si>
  <si>
    <t>14.12.3</t>
  </si>
  <si>
    <t xml:space="preserve">14.13 Artisanal and small-scale mining </t>
  </si>
  <si>
    <t>*Sustainability Management Approach &gt; Responsible Sourcing and Supply Chain Management (https://www.equinoxgold.com/wp-content/uploads/2026/06/EQX-2025-Sustainability-Management-Approach.pdf)</t>
  </si>
  <si>
    <t>14.13.1</t>
  </si>
  <si>
    <t>Mine sites where ASM is present</t>
  </si>
  <si>
    <t>*2025 Sustainability Report &gt; 2. Governance &gt; Responsible Sourcing and Supply Chain Management (https://www.equinoxgold.com/wp-content/uploads/2026/06/EQX-2025-Sustainability-Report.pdf)
*2025 Sustainability Databook &gt; Responsible Sourcing &gt; Artisanal and Small-Scale Mining</t>
  </si>
  <si>
    <t>14.13.2</t>
  </si>
  <si>
    <t>Incidents involving ASM</t>
  </si>
  <si>
    <t>14.13.3</t>
  </si>
  <si>
    <t>14.14 Security practices</t>
  </si>
  <si>
    <t>*Sustainability Management Approach &gt; Human Rights (https://www.equinoxgold.com/wp-content/uploads/2026/06/EQX-2025-Sustainability-Management-Approach.pdf)</t>
  </si>
  <si>
    <t>14.14.1</t>
  </si>
  <si>
    <t>GRI 410: Security Practices 2016</t>
  </si>
  <si>
    <t>410-1 Security personnel trained in human rights policies or procedures</t>
  </si>
  <si>
    <t xml:space="preserve">*2025 Sustainability Report &gt; 2. Governance &gt; Human Rights (https://www.equinoxgold.com/wp-content/uploads/2026/06/EQX-2025-Sustainability-Report.pdf)
*2025 Sustainability Databook &gt; Human Rights &gt; Security Personnel Trained in Human Rights at operations located in or near in CAHRAs </t>
  </si>
  <si>
    <t>14.14.2</t>
  </si>
  <si>
    <t>14.15 Critical incident management</t>
  </si>
  <si>
    <t>14.15.1</t>
  </si>
  <si>
    <t>GRI 306: Effluents and Waste 2016</t>
  </si>
  <si>
    <t>306-3 Significant spills</t>
  </si>
  <si>
    <t>*2025 Sustainability Report &gt; 4. Environment &gt; Waste, Hazardous Materials, and Incident Management (https://www.equinoxgold.com/wp-content/uploads/2026/06/EQX-2025-Sustainability-Report.pdf)
*2025 Sustainability Databook &gt; Waste &gt; Significant Incidents Associated with Hazardous Materials and Waste Management</t>
  </si>
  <si>
    <t>14.15.2</t>
  </si>
  <si>
    <t>Critical incidents</t>
  </si>
  <si>
    <t>*2025 Sustainability Report &gt; 4. Environment &gt; Waste, Hazardous Materials, and Incident Management (https://www.equinoxgold.com/wp-content/uploads/2026/06/EQX-2025-Sustainability-Report.pdf)
*2025 Sustainability Databook &gt; Waste &gt;  Critical Incidents</t>
  </si>
  <si>
    <t>14.15.3</t>
  </si>
  <si>
    <t>Sites with emergency preparedness and response plans</t>
  </si>
  <si>
    <t>*2025 Sustainability Report &gt; 4. Environment &gt; Waste, Hazardous Materials, and Incident Management (https://www.equinoxgold.com/wp-content/uploads/2026/06/EQX-2025-Sustainability-Report.pdf)</t>
  </si>
  <si>
    <t>14.16 Occupational health and safety</t>
  </si>
  <si>
    <t>*Sustainability Management Approach &gt; Occupational Health and Safety (https://www.equinoxgold.com/wp-content/uploads/2026/06/EQX-2025-Sustainability-Management-Approach.pdf)</t>
  </si>
  <si>
    <t>14.16.1</t>
  </si>
  <si>
    <t>GRI 403: Occupational Health and Safety 2018</t>
  </si>
  <si>
    <t>403-1 Occupational health and safety management system</t>
  </si>
  <si>
    <t>14.16.2</t>
  </si>
  <si>
    <t>403-2 Hazard identification, risk assessment, and incident investigation</t>
  </si>
  <si>
    <t>14.16.3</t>
  </si>
  <si>
    <t>403-3 Occupational health services</t>
  </si>
  <si>
    <t>14.16.4</t>
  </si>
  <si>
    <t>403-4 Worker participation, consultation, and communication on occupational health and safety</t>
  </si>
  <si>
    <t>14.16.5</t>
  </si>
  <si>
    <t>403-5 Worker training on occupational health and safety</t>
  </si>
  <si>
    <t>*2025 Sustainability Report &gt; 3. Social &gt; Occupational Health and Safety &gt;  2025 Performance (https://www.equinoxgold.com/wp-content/uploads/2026/06/EQX-2025-Sustainability-Report.pdf)
*2025 Sustainability Databook &gt; OHS &gt; All-Incidence Rate</t>
  </si>
  <si>
    <t>14.16.6</t>
  </si>
  <si>
    <t>403-6 Promotion of worker health</t>
  </si>
  <si>
    <t>14.16.7</t>
  </si>
  <si>
    <t>403-7 Prevention and mitigation of occupational health and safety impacts directly linked by business relationships</t>
  </si>
  <si>
    <t>14.16.8</t>
  </si>
  <si>
    <t>403-8 Workers covered by an occupational health and safety management system</t>
  </si>
  <si>
    <t>*2025 Sustainability Report &gt; 3. Social &gt; Occupational Health and Safety (https://www.equinoxgold.com/wp-content/uploads/2026/06/EQX-2025-Sustainability-Report.pdf)</t>
  </si>
  <si>
    <t>14.16.9</t>
  </si>
  <si>
    <t>403-9 Work-related injuries</t>
  </si>
  <si>
    <t>*2025 Sustainability Report &gt; 3. Social &gt; Occupational Health and Safety (https://www.equinoxgold.com/wp-content/uploads/2026/06/EQX-2025-Sustainability-Report.pdf)
*2025 Sustainability Databook &gt; OHS &gt; Work-Related Injuries</t>
  </si>
  <si>
    <t>14.16.10</t>
  </si>
  <si>
    <t>403-10 Work-related ill health</t>
  </si>
  <si>
    <t>*2025 Sustainability Report &gt; 3. Social &gt; Occupational Health and Safety (https://www.equinoxgold.com/wp-content/uploads/2026/06/EQX-2025-Sustainability-Report.pdf)
*2025 Sustainability Databook &gt; OHS &gt; Work-Related Ill-Health</t>
  </si>
  <si>
    <t>14.16.11</t>
  </si>
  <si>
    <t>14.17 Employment practices</t>
  </si>
  <si>
    <t>*Sustainability Management Approach &gt; People and Organizational Culture (https://www.equinoxgold.com/wp-content/uploads/2026/06/EQX-2025-Sustainability-Management-Approach.pdf)</t>
  </si>
  <si>
    <t>14.17.1</t>
  </si>
  <si>
    <t>GRI 202: Market Presence 2016</t>
  </si>
  <si>
    <t>202-1 Ratios of standard entry-level wage by gender compared to local minimum wage</t>
  </si>
  <si>
    <t>*2025 Sustainability Report &gt; 3. Social &gt; People and Organizational Culture (https://www.equinoxgold.com/wp-content/uploads/2026/06/EQX-2025-Sustainability-Report.pdf)</t>
  </si>
  <si>
    <t>14.17.2</t>
  </si>
  <si>
    <t>GRI 401: Employment 2016</t>
  </si>
  <si>
    <t>401-1 New employee hires and employee turnover</t>
  </si>
  <si>
    <t>*2025 Sustainability Report &gt; 3. Social &gt; People and Organizational Culture (https://www.equinoxgold.com/wp-content/uploads/2026/06/EQX-2025-Sustainability-Report.pdf)
*2025 Sustainability Databook &gt; People &gt; New Employee Hires and Employee Turnover</t>
  </si>
  <si>
    <t>14.17.3</t>
  </si>
  <si>
    <t>401-2 Benefits provided to full-time employees that are not provided to temporary or part-time employees</t>
  </si>
  <si>
    <t>14.17.4</t>
  </si>
  <si>
    <t>401-3 Parental leave</t>
  </si>
  <si>
    <t>*2025 Sustainability Report &gt; 3. Social &gt; People and Organizational Culture (https://www.equinoxgold.com/wp-content/uploads/2026/06/EQX-2025-Sustainability-Report.pdf)
*2025 Sustainability Databook &gt; People &gt; Parental Leave</t>
  </si>
  <si>
    <t>14.17.5</t>
  </si>
  <si>
    <t>14.17.6</t>
  </si>
  <si>
    <t xml:space="preserve">404-1 Average hours of training per year per employee </t>
  </si>
  <si>
    <t>14.17.7</t>
  </si>
  <si>
    <t>14.17.8</t>
  </si>
  <si>
    <t>GRI 414: Supplier Social Assessment 2016</t>
  </si>
  <si>
    <t>414-1 New suppliers that were screened using social criteria</t>
  </si>
  <si>
    <t>*2025 Sustainability Report &gt; 2. Governance &gt; Responsible Sourcing and Supply Chain Management (https://www.equinoxgold.com/wp-content/uploads/2026/06/EQX-2025-Sustainability-Report.pdf)</t>
  </si>
  <si>
    <t>14.17.9</t>
  </si>
  <si>
    <t>414-2 Negative social impacts in the supply chain and actions taken</t>
  </si>
  <si>
    <t>14.17.10</t>
  </si>
  <si>
    <t>14.18 Child labour</t>
  </si>
  <si>
    <t>*Sustainability Management Approach &gt; Human Rights; Responsible Sourcing And Supply Chain Management, and People and Organizational Culture (https://www.equinoxgold.com/wp-content/uploads/2026/06/EQX-2025-Sustainability-Management-Approach.pdf)</t>
  </si>
  <si>
    <t>14.18.1</t>
  </si>
  <si>
    <t>GRI 408: Child labour 2016</t>
  </si>
  <si>
    <t>408-1 Operations and suppliers at significant risk for incidents of child labour</t>
  </si>
  <si>
    <t>*2025 Sustainability Report &gt; 2. Governance &gt; Human Rights (https://www.equinoxgold.com/wp-content/uploads/2026/06/EQX-2025-Sustainability-Report.pdf)
*2025 Sustainability Databook &gt; Human Rights &gt; Risk of Forced and Child Labour</t>
  </si>
  <si>
    <t>14.18.2</t>
  </si>
  <si>
    <t>14.18.3</t>
  </si>
  <si>
    <t>14.19 Forced labour and modern slavery</t>
  </si>
  <si>
    <t>*Sustainability Management Approach &gt; Human Rights; Responsible Sourcing And Supply Chain Management; and People and Organizational Culture (https://www.equinoxgold.com/wp-content/uploads/2026/06/EQX-2025-Sustainability-Management-Approach.pdf)</t>
  </si>
  <si>
    <t>14.19.1</t>
  </si>
  <si>
    <t>GRI 409: Forced or Compulsory Labor 2016</t>
  </si>
  <si>
    <t>409-1 Operations and suppliers at significant risk for incidents of forced or compulsory labour</t>
  </si>
  <si>
    <t>14.19.2</t>
  </si>
  <si>
    <t>14.19.3</t>
  </si>
  <si>
    <t xml:space="preserve">14.20 Freedom of association and collective bargaining </t>
  </si>
  <si>
    <t>14.20.1</t>
  </si>
  <si>
    <t>GRI 407: Freedom of Association and Collective Bargaining 2016</t>
  </si>
  <si>
    <t>407-1 Operations and suppliers in which the right to freedom of association and collective bargaining may be at risk</t>
  </si>
  <si>
    <t>14.20.2</t>
  </si>
  <si>
    <t>Strikes and lockouts</t>
  </si>
  <si>
    <t>*2025 Sustainability Report &gt; 3. Social &gt; People and Organizational Culture (https://www.equinoxgold.com/wp-content/uploads/2026/06/EQX-2025-Sustainability-Report.pdf)
*2025 Sustainability Databook &gt; People &gt; Strikes and Lockouts</t>
  </si>
  <si>
    <t>14.20.3</t>
  </si>
  <si>
    <t>14.21 Non-discrimination and equal opportunity</t>
  </si>
  <si>
    <t>14.21.1</t>
  </si>
  <si>
    <t>202-2 Proportion of senior management hired from the local community</t>
  </si>
  <si>
    <t>14.21.2</t>
  </si>
  <si>
    <t>*2025 Sustainability Report &gt; 3. Social &gt; People and Organizational Culture (https://www.equinoxgold.com/wp-content/uploads/2026/06/EQX-2025-Sustainability-Management-Approach.pdf)
*2025 Sustainability Databook &gt; People &gt; Parental Leave</t>
  </si>
  <si>
    <t>14.21.3</t>
  </si>
  <si>
    <t>404-1 Average hours of training per year per employee</t>
  </si>
  <si>
    <t>14.21.4</t>
  </si>
  <si>
    <t>GRI 405: Diversity and Equal Opportunity 2016</t>
  </si>
  <si>
    <t>405-1 Diversity of governance bodies and employees</t>
  </si>
  <si>
    <t>*2025 Sustainability Report &gt; 3. Social &gt; People and Organizational Culture (https://www.equinoxgold.com/wp-content/uploads/2026/06/EQX-2025-Sustainability-Management-Approach.pdf)
*2025 Sustainability Databook &gt; People &gt; Diversity of Employees</t>
  </si>
  <si>
    <t>14.21.5</t>
  </si>
  <si>
    <t>405-2 Ratio of basic salary and remuneration of women to men</t>
  </si>
  <si>
    <t>*2025 Sustainability Databook &gt; People &gt; Ratio of Basic Salary and Remuneration of Women to Men by Mine Site</t>
  </si>
  <si>
    <t>14.21.6</t>
  </si>
  <si>
    <t>GRI 406: Non-discrimination 2016</t>
  </si>
  <si>
    <t>406-1 Incidents of discrimination and corrective actions taken</t>
  </si>
  <si>
    <t>*2025 Sustainability Report &gt; 3. Social &gt; People and Organizational Culture (https://www.equinoxgold.com/wp-content/uploads/2026/06/EQX-2025-Sustainability-Management-Approach.pdf)
*2025 Sustainability Databook &gt; People &gt; Incidents of Discrimination</t>
  </si>
  <si>
    <t>14.21.7</t>
  </si>
  <si>
    <t>14.22 Anti-corruption</t>
  </si>
  <si>
    <t xml:space="preserve">*Sustainability Management Approach &gt; Business Ethics, Compliance, and Transparency (https://www.equinoxgold.com/wp-content/uploads/2026/06/EQX-2025-Sustainability-Management-Approach.pdf) </t>
  </si>
  <si>
    <t>14.22.1</t>
  </si>
  <si>
    <t>GRI 205: Anti-corruption 2016</t>
  </si>
  <si>
    <t>205-1 Operations assessed for risks related to corruption</t>
  </si>
  <si>
    <t>*2025 Sustainability Report &gt; 2. Governance &gt; Business Ethics, Compliance, and Transparency (https://www.equinoxgold.com/wp-content/uploads/2026/06/EQX-2025-Sustainability-Report.pdf)
*2025 Sustainability Databook &gt; Business Ethics &gt; Operations Assessed for Risks Related to Corruption</t>
  </si>
  <si>
    <t>14.22.2</t>
  </si>
  <si>
    <t>205-2 Communication and training about anti-corruption policies and procedures</t>
  </si>
  <si>
    <t xml:space="preserve">*2025 Sustainability Report &gt; 2. Governance &gt; Business Ethics, Compliance, and Transparency (https://www.equinoxgold.com/wp-content/uploads/2026/06/EQX-2025-Sustainability-Report.pdf) </t>
  </si>
  <si>
    <t>14.22.3</t>
  </si>
  <si>
    <t>205-3 Confirmed incidents of corruption and actions taken</t>
  </si>
  <si>
    <t>*2025 Sustainability Report &gt; 2. Governance &gt; Business Ethics, Compliance, and Transparency (https://www.equinoxgold.com/wp-content/uploads/2026/06/EQX-2025-Sustainability-Report.pdf)
*2025 Sustainability Databook &gt; Business Ethics &gt;Confirmed Incidents of Corruption and Actions Taken</t>
  </si>
  <si>
    <t>14.22.4</t>
  </si>
  <si>
    <t>Contract transparency</t>
  </si>
  <si>
    <t>*2025 Sustainability Report &gt; 2. Governance &gt; Business Ethics, Compliance, and Transparency (https://www.equinoxgold.com/wp-content/uploads/2026/06/EQX-2025-Sustainability-Report.pdf)</t>
  </si>
  <si>
    <t>14.22.5</t>
  </si>
  <si>
    <t>Beneficial ownership</t>
  </si>
  <si>
    <t>*2026 Management Information Circular, p.72 (https://www.equinoxgold.com/wp-content/uploads/2026/03/2026-Management-Information-Circular.pdf)</t>
  </si>
  <si>
    <t>14.22.6</t>
  </si>
  <si>
    <t>14.23 Payments to governments</t>
  </si>
  <si>
    <t>*Sustainability Management Approach &gt; Business Ethics, Compliance, and Transparency (https://www.equinoxgold.com/wp-content/uploads/2026/06/EQX-2025-Sustainability-Management-Approach.pdf)</t>
  </si>
  <si>
    <t>14.23.1</t>
  </si>
  <si>
    <t>14.23.2</t>
  </si>
  <si>
    <t>201-4 Financial assistance received from government</t>
  </si>
  <si>
    <t>14.23.3</t>
  </si>
  <si>
    <t>GRI 207: Tax 2019</t>
  </si>
  <si>
    <t>207-1 Approach to tax</t>
  </si>
  <si>
    <t>14.23.4</t>
  </si>
  <si>
    <t>207-2 Tax governance, control, and risk management</t>
  </si>
  <si>
    <t>14.23.5</t>
  </si>
  <si>
    <t>207-3 Stakeholder engagement and management of concerns related to tax</t>
  </si>
  <si>
    <t>14.23.6</t>
  </si>
  <si>
    <t>207-4 Country-by-country reporting</t>
  </si>
  <si>
    <t>*Equinox Gold's 2025 ESTMA Report (https://www.equinoxgold.com/wp-content/uploads/2026/05/2025-ESTMA-Report-FINAL.pdf)</t>
  </si>
  <si>
    <t>14.23.7</t>
  </si>
  <si>
    <t>State mineral purchases</t>
  </si>
  <si>
    <t>Equinox Gold does not purchase minerals from the state or from third praties appointed by the state to sell on their behalf.</t>
  </si>
  <si>
    <t>14.23.8</t>
  </si>
  <si>
    <t>14.24 Public policy</t>
  </si>
  <si>
    <t>14.24.1</t>
  </si>
  <si>
    <t>GRI 415: Public Policy 2016</t>
  </si>
  <si>
    <t>415-1 Political contributions</t>
  </si>
  <si>
    <t>14.24.2</t>
  </si>
  <si>
    <t>14.25 Conflict-affected and high-risk areas</t>
  </si>
  <si>
    <t>14.25.1</t>
  </si>
  <si>
    <t>Operations in conflict-affected and high-risk areas</t>
  </si>
  <si>
    <t>*2025 Sustainability Report &gt; 2. Governance &gt; Human Rights (https://www.equinoxgold.com/wp-content/uploads/2026/06/EQX-2025-Sustainability-Report.pdf)
*2025 Conflict Free Gold Standard Report (https://www.equinoxgold.com/wp-content/uploads/2026/06/EQX-2025-Conflict-Free-Gold-Standard.pdf)</t>
  </si>
  <si>
    <t>14.25.2</t>
  </si>
  <si>
    <t>Due diligence for conflict-affected and high-risk areas</t>
  </si>
  <si>
    <t>14.25.3</t>
  </si>
  <si>
    <t>Management of impacts in conflict-affected and high-risk areas</t>
  </si>
  <si>
    <t>14.25.4</t>
  </si>
  <si>
    <t>© GRI 2026</t>
  </si>
  <si>
    <t>Version 1.3-Sect (January 2026)</t>
  </si>
  <si>
    <t>SASB STANDARD CONTENT INDEX</t>
  </si>
  <si>
    <t xml:space="preserve">Statement of use
</t>
  </si>
  <si>
    <t>Equinox Gold reports in alignment with the SASB Metals &amp; Mining Industry Standard and has disclosed all relevant accounting metrics for the sustainability topics identified as applicable to its operations during the reporting period covering January 1 to December 31, 2025.</t>
  </si>
  <si>
    <t>Applicable SASB Industry Standard</t>
  </si>
  <si>
    <t>Metals &amp; Mining | Version 2023-12</t>
  </si>
  <si>
    <t>Topic</t>
  </si>
  <si>
    <t>Code</t>
  </si>
  <si>
    <t>Metric</t>
  </si>
  <si>
    <t>Location</t>
  </si>
  <si>
    <t>Greenhouse Gas Emissions</t>
  </si>
  <si>
    <t>EM-MM-110a.1</t>
  </si>
  <si>
    <t>Gross global Scope 1 emissions, percentage covered under emissions-limiting regulations</t>
  </si>
  <si>
    <t>EM-MM-110a.2</t>
  </si>
  <si>
    <t>Discussion of long- and short-term strategy or plan to manage Scope 1 emissions, emissions reduction targets, and an analysis of performance against those targets</t>
  </si>
  <si>
    <t>*Sustainability Management Approach &gt; Emissions, Energy Transition, and Climate Change (https://www.equinoxgold.com/wp-content/uploads/2026/06/EQX-2025-Sustainability-Management-Approach.pdf)
*2025 Sustainability Report &gt; 4. Environment &gt; Emissions, Energy Transition, and Climate Change (https://www.equinoxgold.com/wp-content/uploads/2026/06/EQX-2025-Sustainability-Report.pdf)</t>
  </si>
  <si>
    <t>Air Quality</t>
  </si>
  <si>
    <t>EM-MM-120a.1</t>
  </si>
  <si>
    <t>Air emissions of the following pollutants: (1) CO, (2) NOx (excluding N2O), (3) SOx, (4) particulate matter (PM10), (5) mercury (Hg), (6) lead (Pb), and (7) volatile organic compounds (VOCs)</t>
  </si>
  <si>
    <t>*2025 Sustainability Report &gt; 4. Environment &gt; Emissions, Energy Transition, and Climate Change (https://www.equinoxgold.com/wp-content/uploads/2026/06/EQX-2025-Sustainability-Report.pdf)
*2025 Sustainability Databook &gt; Climate &gt; Significant Air Emissions by Mine Site</t>
  </si>
  <si>
    <t>Energy Management</t>
  </si>
  <si>
    <t>EM-MM-130a.1</t>
  </si>
  <si>
    <t>(1) Total energy consumed, (2) percentage grid electricity and (3) percentage renewable</t>
  </si>
  <si>
    <t>*2025 Sustainability Report &gt; 4. Environment &gt; Emissions, Energy Transition, and Climate Change (https://www.equinoxgold.com/wp-content/uploads/2026/06/EQX-2025-Sustainability-Report.pdf)
*2025 Sustainability Databook &gt; Climate &gt; Energy Consumption</t>
  </si>
  <si>
    <t>Water Management</t>
  </si>
  <si>
    <t>EM-MM-140a.1</t>
  </si>
  <si>
    <t>(1) Total water withdrawn, (2) total water consumed; percentage of each in regions with High or Extremely High Baseline Water Stress</t>
  </si>
  <si>
    <t>EM-MM-140a.2</t>
  </si>
  <si>
    <t>Number of incidents of non-compliance associated with water quality permits, standards and regulations</t>
  </si>
  <si>
    <t>*2025 Sustainability Report &gt; 4. Environment &gt; Water Stewardship (https://www.equinoxgold.com/wp-content/uploads/2026/06/EQX-2025-Sustainability-Report.pdf)
*2025 Sustainability Databook &gt; Water &gt; Number of Incidents of Non-Compliance Associated with Water Quality Permits, Standards and Regulations</t>
  </si>
  <si>
    <t>Waste &amp; Hazardous Materials Management</t>
  </si>
  <si>
    <t>EM-MM-150a.4</t>
  </si>
  <si>
    <t>Total weight of non-mineral waste generated</t>
  </si>
  <si>
    <t>*2025 Sustainability Report &gt; 4. Environment &gt; Waste, Hazardous Materials, and Incident Management (https://www.equinoxgold.com/wp-content/uploads/2026/06/EQX-2025-Sustainability-Report.pdf)
*2025 Sustainability Databook &gt; Waste &gt; Waste Generated by Mine Site &gt; Non-Mineral Waste Generated FY2025 (t)</t>
  </si>
  <si>
    <t>EM-MM-150a.5</t>
  </si>
  <si>
    <t>Total weight of tailings produced</t>
  </si>
  <si>
    <t>*2025 Sustainability Report &gt; 4. Environment &gt;Waste, Hazardous Materials, and Incident Management (https://www.equinoxgold.com/wp-content/uploads/2026/06/EQX-2025-Sustainability-Report.pdf)
*2025 Sustainability Databook &gt; Waste &gt; Waste Generated by Mine Site &gt; Mineral Waste Generated FY2025 (t)</t>
  </si>
  <si>
    <t>EM-MM-150a.6</t>
  </si>
  <si>
    <t>Total weight of waste rock generated</t>
  </si>
  <si>
    <t>*2025 Sustainability Report &gt; 4. Environment &gt; Waste, Hazardous Materials, and Incident Management (https://www.equinoxgold.com/wp-content/uploads/2026/06/EQX-2025-Sustainability-Report.pdf)
*2025 Sustainability Databook &gt; Waste &gt; Waste Generated by Mine Site &gt; Mineral Waste Generated FY2025 (t)</t>
  </si>
  <si>
    <t>EM-MM-150a.7</t>
  </si>
  <si>
    <t>Total weight of hazardous waste generated</t>
  </si>
  <si>
    <t>EM-MM-150a.8</t>
  </si>
  <si>
    <t>Total weight of hazardous waste recycled</t>
  </si>
  <si>
    <t>*2025 Sustainability Report &gt; 4. Environment &gt; Waste, Hazardous Materials, and Incident Management (https://www.equinoxgold.com/wp-content/uploads/2026/06/EQX-2025-Sustainability-Report.pdf)
*2025 Sustainability Databook &gt; Waste &gt; Waste Diverted from Disposal by Mine Site &gt; Hazardous Waste Recycled FY2025 (t)</t>
  </si>
  <si>
    <t>EM-MM-150a.9</t>
  </si>
  <si>
    <t>Number of significant incidents associated with hazardous materials and waste management</t>
  </si>
  <si>
    <t>*2025 Sustainability Report &gt; 4. Environment &gt; Waste, Hazardous Materials, and Incident Management (https://www.equinoxgold.com/wp-content/uploads/2026/06/EQX-2025-Sustainability-Report.pdf)
*2025 Sustainability Databook &gt; Waste &gt;Significant Incidents Associated with Hazardous Materials and Waste Management</t>
  </si>
  <si>
    <t>EM-MM-150a.10</t>
  </si>
  <si>
    <t>Description of waste and hazardous materials management policies and procedures for active and inactive operations</t>
  </si>
  <si>
    <t>Biodiversity Impacts</t>
  </si>
  <si>
    <t>EM-MM-160a.1</t>
  </si>
  <si>
    <t>Description of environmental management policies and practices for active sites</t>
  </si>
  <si>
    <t>*2025 Sustainability Report &gt; 4. Environment &gt; Biodiversity and Rehabilitation (https://www.equinoxgold.com/wp-content/uploads/2026/06/EQX-2025-Sustainability-Report.pdf)
*Sustainability Management Approach &gt; Biodiversity and Rehabilitation (https://www.equinoxgold.com/wp-content/uploads/2026/06/EQX-2025-Sustainability-Management-Approach.pdf)</t>
  </si>
  <si>
    <t>EM-MM-160a.2</t>
  </si>
  <si>
    <t>Percentage of mine sites where acid rock drainage is: (1) predicted to occur, (2) actively mitigated, and (3) under treatment or remediation</t>
  </si>
  <si>
    <t>*2025 Sustainability Report &gt; 4. Environment &gt; Water Stewardship (https://www.equinoxgold.com/wp-content/uploads/2026/06/EQX-2025-Sustainability-Report.pdf)
*2025 Sustainability Databook &gt; Water &gt; Percentage of mine sites where acid rock drainage is: (1) predicted to occur, (2) actively mitigated, and (3) under treatment or remediation</t>
  </si>
  <si>
    <t>EM-MM-160a.3</t>
  </si>
  <si>
    <t>Percentage of (1) proved and (2) probable reserves in or near sites with protected conservation status or endangered species habitat</t>
  </si>
  <si>
    <t>*2025 Sustainability Report &gt; 4. Environment &gt;Biodiversity and Rehabilitation (https://www.equinoxgold.com/wp-content/uploads/2026/06/EQX-2025-Sustainability-Report.pdf)
*2025 Sustainability Databook &gt; Biodiversity &gt; Locations with Biodiversity Impacts</t>
  </si>
  <si>
    <t>Security, Human Rights &amp; Rights of Indigenous Peoples</t>
  </si>
  <si>
    <t>EM-MM-210a.1</t>
  </si>
  <si>
    <t>Percentage of (1) proved and (2) probable reserves in or near areas of conflict</t>
  </si>
  <si>
    <r>
      <t xml:space="preserve">*2025 Sustainability Report &gt; 3. Social &gt; Indigenous Peoples and Community Engagement (https://www.equinoxgold.com/wp-content/uploads/2026/06/EQX-2025-Sustainability-Report.pdf)
</t>
    </r>
    <r>
      <rPr>
        <sz val="10"/>
        <rFont val="Aptos Narrow"/>
        <family val="2"/>
        <scheme val="minor"/>
      </rPr>
      <t>*2025 Sustainability Databook &gt; Indigenous and Communities &gt; Reserves in or Near Areas of Conflict</t>
    </r>
  </si>
  <si>
    <t>EM-MM-210a.2</t>
  </si>
  <si>
    <t>Percentage of (1) proved and (2) probable reserves in or near indigenous land</t>
  </si>
  <si>
    <t>EM-MM-210a.3</t>
  </si>
  <si>
    <t>Discussion of engagement processes and due diligence practices with respect to human rights, indigenous rights, and operation in areas of conflict</t>
  </si>
  <si>
    <t>*Sustainability Management Approach &gt; Human Rights (https://www.equinoxgold.com/wp-content/uploads/2026/06/EQX-2025-Sustainability-Management-Approach.pdf)
*2025 Conflict Free Gold Standard Report (https://www.equinoxgold.com/wp-content/uploads/2026/06/EQX-2025-Conflict-Free-Gold-Standard.pdf)</t>
  </si>
  <si>
    <t>Community Relations</t>
  </si>
  <si>
    <t>EM-MM-210b.1</t>
  </si>
  <si>
    <t>Discussion of process to manage risks and opportunities associated with community rights and interests</t>
  </si>
  <si>
    <t>EM-MM-210b.2</t>
  </si>
  <si>
    <t>Number and duration of non-technical delays</t>
  </si>
  <si>
    <t>*2025 Sustainability Report &gt; 3. Social &gt; Indigenous Peoples and Community Engagement (https://www.equinoxgold.com/wp-content/uploads/2026/06/EQX-2025-Sustainability-Report.pdf)
*2025 Sustainability Databook &gt; Indigenous and Communities &gt; Non-technical Delays</t>
  </si>
  <si>
    <t>Labor Relations</t>
  </si>
  <si>
    <t>EM-MM-310a.1</t>
  </si>
  <si>
    <t>Percentage of active workforce covered under collective bargaining agreements, broken down by U.S. and foreign employees</t>
  </si>
  <si>
    <t>EM-MM-310a.2</t>
  </si>
  <si>
    <t>Number and duration of strikes and lockouts</t>
  </si>
  <si>
    <t>Workforce Health &amp; Safety</t>
  </si>
  <si>
    <t>EM-MM-320a.1</t>
  </si>
  <si>
    <t>(1) All-incidence rate, (2) fatality rate, (3) near miss frequency rate (NMFR) and (4) average hours of health, safety, and emergency response training for (a) full-time employees and (b) contract employees</t>
  </si>
  <si>
    <t>*2025 Sustainability Report &gt; 3. Social &gt; Occupational Health and Safety (https://www.equinoxgold.com/wp-content/uploads/2026/06/EQX-2025-Sustainability-Report.pdf)
*2025 Sustainability Databook &gt; OHS &gt; All-Incidence Rate</t>
  </si>
  <si>
    <t>Business Ethics &amp; Transparency</t>
  </si>
  <si>
    <t>EM-MM-510a.1</t>
  </si>
  <si>
    <t>Description of the management system for prevention of corruption and bribery throughout the value chain</t>
  </si>
  <si>
    <t>Production in countries that have the 20 lowest rankings in Transparency International’s Corruption Perception Index</t>
  </si>
  <si>
    <t>*2025 Sustainability Report &gt; 2. Governance &gt; Business Ethics, Compliance, and Transparency (https://www.equinoxgold.com/wp-content/uploads/2026/06/EQX-2025-Sustainability-Report.pdf)
*2025 Sustainability Databook &gt; Business Ethics &gt; Production in Countries that have the 20 Lowest Rankings in Transparency International’s Corruption Perception Index</t>
  </si>
  <si>
    <t>Tailings Storage Facilities</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</si>
  <si>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</si>
  <si>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</si>
  <si>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*2025 Sustainability Databook &gt; Waste &gt; Tailings Facilities Inventory Table</t>
  </si>
  <si>
    <t>EM-MM-540a.2</t>
  </si>
  <si>
    <t>Summary of tailings management systems and governance structure used to monitor and maintain the stability of tailings storage facilities</t>
  </si>
  <si>
    <t>EM-MM-540a.3</t>
  </si>
  <si>
    <t>Approach to development of Emergency Preparedness and Response Plans (EPRPs) for tailings storage facilities</t>
  </si>
  <si>
    <t>Activity Metric</t>
  </si>
  <si>
    <t>Production of (1) metal ores and (2) finished metal products</t>
  </si>
  <si>
    <t>*2025 Sustainability Report &gt; 1. General Overview &gt; About Equinox Gold &gt; Company Profile and Operating Footprint (https://www.equinoxgold.com/wp-content/uploads/2026/06/EQX-2025-Sustainability-Report.pdf)
*2025 Sustainability Databook &gt; Overview &gt; Gold Production FY2025</t>
  </si>
  <si>
    <t>EM-MM-000.B</t>
  </si>
  <si>
    <t>Total number of employees, percentage contractors</t>
  </si>
  <si>
    <t>OVERVIEW</t>
  </si>
  <si>
    <r>
      <t xml:space="preserve">Disclosure: </t>
    </r>
    <r>
      <rPr>
        <sz val="10"/>
        <color theme="0"/>
        <rFont val="Aptos Narrow"/>
        <family val="2"/>
        <scheme val="minor"/>
      </rPr>
      <t>GRI 2-2</t>
    </r>
  </si>
  <si>
    <t>This report covers our most significant actual and potential impacts on the economy, environment, and people, including human rights, and our management of these impacts.  The reporting scope for each material topic is determined based on the likelihood and significance of potential environmental, social, or economic impacts. 
The following reporting scope considerations apply for the 2025 reporting period:
• OHS, social, and environmental data for all sites includes the full 2025 reporting period to enhance completeness and comparability of disclosed performance following the combination with Calibre Mining  in June 2025. The inclusion of pre-combination data from El Limon, La Libertad, and Valentine is presented for reporting purposes only and does not imply that such operations were under the Company’s operational control or legal responsibility prior to the combination date. 
• Economic data, consistent with financial disclosure in the Company's MD&amp;A for the year ended December 31, 2025, includes full year results from Greenstone, Mesquite, Castle Mountain, Los Filos, Aurizona, Bahia, and RDM, and results from El Limon, La Libertad, and Valentine from the date of completion of the Calibre Mining combination on June 17 to December 31, 2025.
• Pan Mine is excluded from the sustainability reporting scope as it was divested in October 2025 and was only part of the Company’s portfolio for a portion of the reporting year.
Environmental and operational performance indicators primarily reflect producing mines and development projects with active site activities, as these locations account for most of our direct environmental impacts. People and OHS indicators include employees and contractors working at producing mines, development projects, exploration properties with active personnel, sites under care and maintenance, and corporate or regional offices. Indigenous Peoples and community-related disclosures include projects with active engagement with Indigenous Peoples and local communities or potential community impacts.
Prior to the combination, Calibre Mining operations applied different management systems, definitions and data collection methods. As a result, certain metrics and classifications may not fully align with the Company’s methodologies, and minor inconsistencies may be present in combined datasets. 
Where applicable, data is derived from internal management systems and, in the case of acquired operations, from information provided by the acquired entity prior to integration.</t>
  </si>
  <si>
    <t>Entities Included in the Sustainability Reporting by Topic Category</t>
  </si>
  <si>
    <r>
      <t xml:space="preserve">All of the Company's material subsidiaries as </t>
    </r>
    <r>
      <rPr>
        <sz val="10"/>
        <rFont val="Aptos Narrow (Body)"/>
      </rPr>
      <t>of</t>
    </r>
    <r>
      <rPr>
        <sz val="10"/>
        <rFont val="Aptos Narrow"/>
        <family val="2"/>
        <scheme val="minor"/>
      </rPr>
      <t xml:space="preserve"> December 31, 2025 are included in our 2025 Sustainability Report, aligned with its Consolidated Financial Statements (https://www.equinoxgold.com/wp-content/uploads/2026/02/EQX-2025.12.31-Financial-Statements-Final.pdf).</t>
    </r>
  </si>
  <si>
    <t>Jurisdiction</t>
  </si>
  <si>
    <t>Operation / Site(1)</t>
  </si>
  <si>
    <t>Status</t>
  </si>
  <si>
    <t>Included in Environmental Data</t>
  </si>
  <si>
    <t>Included in People Data</t>
  </si>
  <si>
    <t>Included in Social Data</t>
  </si>
  <si>
    <t>Included in OHS Data</t>
  </si>
  <si>
    <t>Included in Economic Data</t>
  </si>
  <si>
    <t>Canada</t>
  </si>
  <si>
    <t>Corporate Office</t>
  </si>
  <si>
    <t>Corporate</t>
  </si>
  <si>
    <t>–</t>
  </si>
  <si>
    <t>✔</t>
  </si>
  <si>
    <t>Greenstone Mine</t>
  </si>
  <si>
    <t>Operating</t>
  </si>
  <si>
    <t>Valentine Mine</t>
  </si>
  <si>
    <t>United States</t>
  </si>
  <si>
    <t>Mesquite Mine</t>
  </si>
  <si>
    <t>Castle Mountain</t>
  </si>
  <si>
    <t>Development</t>
  </si>
  <si>
    <t>Brazil</t>
  </si>
  <si>
    <t>Belo Office</t>
  </si>
  <si>
    <t>Aurizona Mine</t>
  </si>
  <si>
    <t>Bahia Complex (Santa Luz &amp; Fazenda Mines)</t>
  </si>
  <si>
    <t>RDM Mine</t>
  </si>
  <si>
    <t>Mexico</t>
  </si>
  <si>
    <t>Los Filos Mine</t>
  </si>
  <si>
    <t>Care and Maintainance</t>
  </si>
  <si>
    <t>Nicaragua</t>
  </si>
  <si>
    <t>Managua Office</t>
  </si>
  <si>
    <t>El Limon Complex</t>
  </si>
  <si>
    <t>La Libertad Complex (La Libertad, Eastern Borosi &amp; Pavon Mines)</t>
  </si>
  <si>
    <t>Multiple jurisdictions</t>
  </si>
  <si>
    <t>Exploration properties</t>
  </si>
  <si>
    <t>Exploration</t>
  </si>
  <si>
    <t>Limited</t>
  </si>
  <si>
    <t>✔ (if personnel present)</t>
  </si>
  <si>
    <t>Case-by-case</t>
  </si>
  <si>
    <t>(1) The sites listed above reflect operations under Equinox Gold’s operational control as of December 31, 2025.</t>
  </si>
  <si>
    <r>
      <rPr>
        <b/>
        <sz val="10"/>
        <color theme="0"/>
        <rFont val="Aptos Narrow"/>
        <family val="2"/>
        <scheme val="minor"/>
      </rPr>
      <t>Disclosure:</t>
    </r>
    <r>
      <rPr>
        <sz val="10"/>
        <color theme="0"/>
        <rFont val="Aptos Narrow"/>
        <family val="2"/>
        <scheme val="minor"/>
      </rPr>
      <t xml:space="preserve"> GRI 14.9.6</t>
    </r>
  </si>
  <si>
    <t>For reporting purposes, Equinox Gold applies a standardized geographic classification to define “local” employment, procurement, and economic participation across all jurisdictions where the Company operates.
The classification follows an inside-out geographic approach, beginning with the communities located within the direct area of influence of each operation and expanding progressively to regional, national, and international levels. This methodology ensures consistent reporting across jurisdictions while reflecting the geographic context of each mining operation.
Throughout this report, the term “local” refers to individuals, workers, or suppliers who are born, registered, or have the legal right to reside indefinitely within the immediate area of influence surrounding an operation, as defined by the administrative or municipal boundaries of host communities directly affected by operational activities.
Definitions of local employment and local procurement may vary by operation to reflect the geographic context of host communities; however, all classifications follow the standardized geographic hierarchy described above.</t>
  </si>
  <si>
    <t>Geographic Reporting Categories</t>
  </si>
  <si>
    <t>Category</t>
  </si>
  <si>
    <t>Definition</t>
  </si>
  <si>
    <t>Local</t>
  </si>
  <si>
    <t>Individuals or suppliers originating from, residing in, or registered within municipalities or communities located in the direct area of influence of a mining operation.</t>
  </si>
  <si>
    <t>Regional / In-State / In-Province</t>
  </si>
  <si>
    <t>Individuals or suppliers located within the same first-level administrative jurisdiction (e.g., state, province, or department) as the operation, but outside the defined local area.</t>
  </si>
  <si>
    <t>In-Country (National)</t>
  </si>
  <si>
    <t>Individuals or suppliers based within the country where the operation is located but outside the relevant state or provincial jurisdiction.</t>
  </si>
  <si>
    <t>Foreign / International</t>
  </si>
  <si>
    <t>Individuals or suppliers based outside the country where the operation is located.</t>
  </si>
  <si>
    <t>Operation / Scope</t>
  </si>
  <si>
    <t>Local Area of Influence</t>
  </si>
  <si>
    <t>Regional / In-State / 
In-Province
(Exclusive of Local Area of Influence)</t>
  </si>
  <si>
    <t>In-Country
(Exclusive of Local and Regional Area of Influence)</t>
  </si>
  <si>
    <t>Corporate Office (Vancouver)</t>
  </si>
  <si>
    <t>Greater Vancouver Regional District</t>
  </si>
  <si>
    <t>British Columbia</t>
  </si>
  <si>
    <t>Greenstone</t>
  </si>
  <si>
    <t>Geraldton, Longlac, Beardmore, Caramat, Jellicoe, Nakina, and Orient Bay</t>
  </si>
  <si>
    <t>Ontario</t>
  </si>
  <si>
    <t>Valentine</t>
  </si>
  <si>
    <t>Buchans, Buchans Junction, Millertown, Badger, Grand Falls-Windsor, and Bishop’s Falls</t>
  </si>
  <si>
    <t>Newfoundland and Labrador</t>
  </si>
  <si>
    <t>Mesquite</t>
  </si>
  <si>
    <t>Brawley, Calexico, Calipatria, El Centro, Heber, Holtville, Imperial, Niland, Seeley, Westmorland, and Winterhaven (Imperial County, CA), Yuma (Yuma County, AZ)</t>
  </si>
  <si>
    <t xml:space="preserve">Arizona, California </t>
  </si>
  <si>
    <t>Bullhead City (Mohave County, AZ), Henderson, Las Vegas, Laughlin, North Las Vegas (Clark County, NV), (San Bernardino County, CA)</t>
  </si>
  <si>
    <t>Arizona, California, Nevada</t>
  </si>
  <si>
    <t>Los Filos</t>
  </si>
  <si>
    <t>Mezcala, Mazapa, Carrizalillo, Xochipala (Eduardo Neri Municipality)</t>
  </si>
  <si>
    <t>State of Guerrero</t>
  </si>
  <si>
    <t>El Limon</t>
  </si>
  <si>
    <t>Larreynaga Municipality (Department of Leon)</t>
  </si>
  <si>
    <t>Leon</t>
  </si>
  <si>
    <t>La Libertad</t>
  </si>
  <si>
    <t>La Libertad, Santo Domingo Municipalities (Department of Chontales); Rosita Municipality (RACCN - Autonomous Region); Rancho Grande Municipality (Department of Matagalpa)</t>
  </si>
  <si>
    <t>Chontales, Matagalpa, and RACCN</t>
  </si>
  <si>
    <t>Managua</t>
  </si>
  <si>
    <t>Aurizona</t>
  </si>
  <si>
    <t>Godofredo Viana, Aurizona Village, Candido Mendes, Luis Domingues, Carutapera</t>
  </si>
  <si>
    <t>Maranhão</t>
  </si>
  <si>
    <t>Bahia</t>
  </si>
  <si>
    <t>Santa Luz, Cansanção, Barrocas, Teofilândia, Serrinha, Biritinga</t>
  </si>
  <si>
    <t>RDM</t>
  </si>
  <si>
    <t>Porteirinha, Riacho dos Machados</t>
  </si>
  <si>
    <t>Minas Gerais</t>
  </si>
  <si>
    <t>Belo Horizonte</t>
  </si>
  <si>
    <r>
      <t xml:space="preserve">Disclosure: </t>
    </r>
    <r>
      <rPr>
        <sz val="10"/>
        <color theme="0"/>
        <rFont val="Aptos Narrow"/>
        <family val="2"/>
        <scheme val="minor"/>
      </rPr>
      <t>GRI 2-4</t>
    </r>
  </si>
  <si>
    <t>During the preparation of the 2025 Sustainability disclosures, Equinox Gold conducted an internal data validation process to enhance consistency, accuracy, and alignment across reporting systems following organizational integration activities. As a result, certain previously reported 2024 data points have been restated. These updates do not reflect changes in underlying performance but improve data reliability and comparability over time.
Details of restatements are presented below in accordance with GRI 2-4: Restatements of Information.</t>
  </si>
  <si>
    <t>Disclosure / Indicator</t>
  </si>
  <si>
    <t>Originally Reported (2024)</t>
  </si>
  <si>
    <t>Restated Information</t>
  </si>
  <si>
    <t>Nature of Restatement</t>
  </si>
  <si>
    <t>Reason for Restatement</t>
  </si>
  <si>
    <t>Impact on Trends or Comparability</t>
  </si>
  <si>
    <t>Water Stewardship</t>
  </si>
  <si>
    <t>GRI 303-3 / SASB EM-MM-140a.1</t>
  </si>
  <si>
    <t>Water withdrawal and water stress disclosures published in the 2024 Sustainability Report and Databook water tables.</t>
  </si>
  <si>
    <t>Updated allocation of water withdrawn from regions with high or extremely high baseline water stress reflected in the revised FY2024 Water tables of this Databook.</t>
  </si>
  <si>
    <t>Data reclassification</t>
  </si>
  <si>
    <t>Refinement of watershed classification and geospatial mapping methodology.</t>
  </si>
  <si>
    <t>Limited to water stress classification and allocation; overall withdrawal methodology unchanged.</t>
  </si>
  <si>
    <r>
      <t xml:space="preserve">Disclosure: </t>
    </r>
    <r>
      <rPr>
        <sz val="10"/>
        <color theme="0"/>
        <rFont val="Aptos Narrow"/>
        <family val="2"/>
        <scheme val="minor"/>
      </rPr>
      <t>EM-MM-000.A</t>
    </r>
  </si>
  <si>
    <t>Site / Operation</t>
  </si>
  <si>
    <t>Gold Produced Full Year (oz)(1)</t>
  </si>
  <si>
    <t xml:space="preserve">Gold Produced Attributable to EQX for the Period of Ownership (oz)(1) </t>
  </si>
  <si>
    <t>Tonnes Processed Attributable to EQX for the Period of Ownership (kt)</t>
  </si>
  <si>
    <t>Greenstone (Canada)</t>
  </si>
  <si>
    <t>Valentine (Canada)</t>
  </si>
  <si>
    <t>Mesquite (USA)</t>
  </si>
  <si>
    <t>Castle Mountain (USA)</t>
  </si>
  <si>
    <t>Pan (USA)</t>
  </si>
  <si>
    <t>Los Filos (Mexico)</t>
  </si>
  <si>
    <t>El Limon (Nicaragua)</t>
  </si>
  <si>
    <t>La Libertad (Nicaragua)</t>
  </si>
  <si>
    <t>Aurizona (Brazil)</t>
  </si>
  <si>
    <t>Bahia (Brazil)</t>
  </si>
  <si>
    <t>RDM (Brazil)</t>
  </si>
  <si>
    <t>Total</t>
  </si>
  <si>
    <t>(1) Pan Mine gold production is included in production totals for the period of ownership in 2025 but excluded from environmental, social, health and safety metrics and related intensity calculations.</t>
  </si>
  <si>
    <t>Acronym</t>
  </si>
  <si>
    <t>AGM</t>
  </si>
  <si>
    <t>Annual General Meeting</t>
  </si>
  <si>
    <t>AMA</t>
  </si>
  <si>
    <t xml:space="preserve">Arizona Mining Association </t>
  </si>
  <si>
    <t>ASM</t>
  </si>
  <si>
    <t>Au</t>
  </si>
  <si>
    <t>Gold</t>
  </si>
  <si>
    <t>C</t>
  </si>
  <si>
    <t>Canadian Dollars</t>
  </si>
  <si>
    <t>CAHRA</t>
  </si>
  <si>
    <t>Conflict-Affected and High-Risk Areas</t>
  </si>
  <si>
    <t>CalChamber</t>
  </si>
  <si>
    <t xml:space="preserve">California Chamber of Commerce </t>
  </si>
  <si>
    <t>CAMIMEX</t>
  </si>
  <si>
    <t xml:space="preserve">Camara Minera de Mexico / Mexican Mining Chamber </t>
  </si>
  <si>
    <t>CBA</t>
  </si>
  <si>
    <t>Collective Bargaining Agreement</t>
  </si>
  <si>
    <t>CEO</t>
  </si>
  <si>
    <t>Chief Executive Officer</t>
  </si>
  <si>
    <t>CFGS</t>
  </si>
  <si>
    <t>Conflict-Free Gold Standard</t>
  </si>
  <si>
    <t>CIM</t>
  </si>
  <si>
    <t>Canadian Institute of Mining, Metallurgy and Petroleum</t>
  </si>
  <si>
    <t>EDI</t>
  </si>
  <si>
    <t>Equity, Diversity, and Inclusion</t>
  </si>
  <si>
    <t>EMS</t>
  </si>
  <si>
    <t>Environmental Management System</t>
  </si>
  <si>
    <t>EQX</t>
  </si>
  <si>
    <t>Equinox Gold</t>
  </si>
  <si>
    <t>ERM</t>
  </si>
  <si>
    <t>Enterprise Risk Management</t>
  </si>
  <si>
    <t>ESG</t>
  </si>
  <si>
    <t>Environmental, Social, and Governance</t>
  </si>
  <si>
    <t>ESTMA</t>
  </si>
  <si>
    <t>Extractive Sector Transparency Measures Act</t>
  </si>
  <si>
    <t>FPIC</t>
  </si>
  <si>
    <t>Free, Prior, and Informed Consent</t>
  </si>
  <si>
    <t>FY</t>
  </si>
  <si>
    <t>Fiscal Year</t>
  </si>
  <si>
    <t>GGM</t>
  </si>
  <si>
    <t>Greenstone Gold Mine</t>
  </si>
  <si>
    <t>GHG</t>
  </si>
  <si>
    <t>Greenhouse Gas</t>
  </si>
  <si>
    <t>GRI</t>
  </si>
  <si>
    <t>Global Reporting Initiative</t>
  </si>
  <si>
    <t>HR</t>
  </si>
  <si>
    <t>Human Resources</t>
  </si>
  <si>
    <t>HSE</t>
  </si>
  <si>
    <t>Health, Safety, and Environment</t>
  </si>
  <si>
    <t>HSMS</t>
  </si>
  <si>
    <t>Health and Safety Management System</t>
  </si>
  <si>
    <t>IBRAM</t>
  </si>
  <si>
    <t xml:space="preserve">Instituto Brasileiro de Mineração / The Brazilian Mining Institute </t>
  </si>
  <si>
    <t>ICMM</t>
  </si>
  <si>
    <t>International Council on Mining and Metals</t>
  </si>
  <si>
    <t>ICMC</t>
  </si>
  <si>
    <t>International Cyanide Management Code</t>
  </si>
  <si>
    <t>IFRS</t>
  </si>
  <si>
    <t>International Financial Reporting Standards</t>
  </si>
  <si>
    <t>LTIFR</t>
  </si>
  <si>
    <t>Lost Time Injury Frequency Rate</t>
  </si>
  <si>
    <t>MAC</t>
  </si>
  <si>
    <t>Mining Association of Canada</t>
  </si>
  <si>
    <t>MD&amp;A</t>
  </si>
  <si>
    <t>Management's Discussion and Analysis</t>
  </si>
  <si>
    <t>MSHA</t>
  </si>
  <si>
    <t>Mine Safety and Health Administration</t>
  </si>
  <si>
    <t>N/A</t>
  </si>
  <si>
    <t>Not Applicable.</t>
  </si>
  <si>
    <t>N/D</t>
  </si>
  <si>
    <t>No Data Available</t>
  </si>
  <si>
    <t>NMA</t>
  </si>
  <si>
    <t>U.S. National Mining Association</t>
  </si>
  <si>
    <t>NOx</t>
  </si>
  <si>
    <t>Nitrogen Oxides</t>
  </si>
  <si>
    <t>NYSE-A</t>
  </si>
  <si>
    <t>NYSE American Stock Exchange</t>
  </si>
  <si>
    <t>OECD</t>
  </si>
  <si>
    <t>Organisation for Economic Co-operation and Development</t>
  </si>
  <si>
    <t>OFAC</t>
  </si>
  <si>
    <t>U.S. Department of the Treasury’s Office of Foreign Assets Control</t>
  </si>
  <si>
    <t>Occupational Health and Safety</t>
  </si>
  <si>
    <t>PM10</t>
  </si>
  <si>
    <t>Particulate Matter</t>
  </si>
  <si>
    <t>RACCN</t>
  </si>
  <si>
    <t xml:space="preserve">Region Autonoma de la Costa Caribe Norte / Autonomous Region of the North Caribbean Coast </t>
  </si>
  <si>
    <t>Riacho dos Machados Mine</t>
  </si>
  <si>
    <t>RGMPs</t>
  </si>
  <si>
    <t>Responsible Gold Mining Principles</t>
  </si>
  <si>
    <t>SASB</t>
  </si>
  <si>
    <t>Sustainability Accounting Standards Board</t>
  </si>
  <si>
    <t>SEIFR</t>
  </si>
  <si>
    <t>Significant Environmental Incident Frequency Rate</t>
  </si>
  <si>
    <t>SEDAR+</t>
  </si>
  <si>
    <t>System for Electronic Document Analysis and Retrieval Plus</t>
  </si>
  <si>
    <t>SME</t>
  </si>
  <si>
    <t>Small and Medium Enterprises</t>
  </si>
  <si>
    <t>SMME</t>
  </si>
  <si>
    <t xml:space="preserve">Society for Mining, Metallurgy &amp; Exploration </t>
  </si>
  <si>
    <t>SOx</t>
  </si>
  <si>
    <t>Sulfur Oxides</t>
  </si>
  <si>
    <t>TMF</t>
  </si>
  <si>
    <t>Tailings Management Facility</t>
  </si>
  <si>
    <t>TSF</t>
  </si>
  <si>
    <t>Tailings Storage Facility</t>
  </si>
  <si>
    <t>TSM</t>
  </si>
  <si>
    <t>Towards Sustainable Mining</t>
  </si>
  <si>
    <t>TSX</t>
  </si>
  <si>
    <t>Toronto Stock Exchange</t>
  </si>
  <si>
    <t>TCFD</t>
  </si>
  <si>
    <t>Task Force on Climate-related Financial Disclosures</t>
  </si>
  <si>
    <t>TRIFR</t>
  </si>
  <si>
    <t>Total Recordable Injury Frequency Rate</t>
  </si>
  <si>
    <t>UCDP</t>
  </si>
  <si>
    <t>Uppsala Conflict Data Program</t>
  </si>
  <si>
    <t>UNGC</t>
  </si>
  <si>
    <t>United Nations Global Compact</t>
  </si>
  <si>
    <t>UNGPs</t>
  </si>
  <si>
    <t>United Nations Guiding Principles on Business and Human Rights</t>
  </si>
  <si>
    <t>US</t>
  </si>
  <si>
    <t>VPSHR</t>
  </si>
  <si>
    <t>Voluntary Principles on Security and Human Rights</t>
  </si>
  <si>
    <t>WGC</t>
  </si>
  <si>
    <t>World Gold Council</t>
  </si>
  <si>
    <t>Unit</t>
  </si>
  <si>
    <t>CO₂e</t>
  </si>
  <si>
    <t>Carbon dioxide equivalent</t>
  </si>
  <si>
    <t>GJ</t>
  </si>
  <si>
    <t>Gigajoule</t>
  </si>
  <si>
    <t xml:space="preserve">K </t>
  </si>
  <si>
    <t>thousand</t>
  </si>
  <si>
    <t>km</t>
  </si>
  <si>
    <t>Kilometre</t>
  </si>
  <si>
    <t>kt</t>
  </si>
  <si>
    <t>Thousand tonnes</t>
  </si>
  <si>
    <r>
      <t>m</t>
    </r>
    <r>
      <rPr>
        <b/>
        <vertAlign val="superscript"/>
        <sz val="10"/>
        <color theme="1"/>
        <rFont val="Aptos Narrow"/>
        <family val="2"/>
        <scheme val="minor"/>
      </rPr>
      <t>3</t>
    </r>
  </si>
  <si>
    <t>Cubic metre</t>
  </si>
  <si>
    <t>Mt</t>
  </si>
  <si>
    <t>Million tonnes</t>
  </si>
  <si>
    <t>t</t>
  </si>
  <si>
    <t>Tonnes</t>
  </si>
  <si>
    <t>US$</t>
  </si>
  <si>
    <t>United States dollars</t>
  </si>
  <si>
    <t>M</t>
  </si>
  <si>
    <t>Million</t>
  </si>
  <si>
    <t>oz</t>
  </si>
  <si>
    <t>Ounces</t>
  </si>
  <si>
    <t>Term</t>
  </si>
  <si>
    <t>General</t>
  </si>
  <si>
    <t>Sustainability</t>
  </si>
  <si>
    <t>Our responsibility to conduct safe, responsible gold mining throughout the mining life cycle, safeguarding the environment, respecting people and their rights, building trust and legitimacy, and creating lasting value for our communities, workforce, suppliers, and shareholders.</t>
  </si>
  <si>
    <t>Due Diligence</t>
  </si>
  <si>
    <t>Process to identify, prevent, mitigate, and account for how the Company addresses its actual and potential negative impacts.</t>
  </si>
  <si>
    <t>Impact</t>
  </si>
  <si>
    <t>Effects the Company has or could have on the economy, environment, and people, including on their human rights, which in turn can indicate its contribution (negative or positive) to sustainable development.</t>
  </si>
  <si>
    <t>Incident</t>
  </si>
  <si>
    <t xml:space="preserve">Refers to a legal action or complaint registered with the Company or with competent authorities through a formal process, or an instance of non-compliance identified by the Company through established internal monitoring, audit, grievance, or investigation procedures. </t>
  </si>
  <si>
    <t>Material Topics</t>
  </si>
  <si>
    <t>Topics that represent the Company’s most significant impacts on the economy, environment, and people, including impacts on their human rights.</t>
  </si>
  <si>
    <t>Business Ethics, Compliance, and Transparency</t>
  </si>
  <si>
    <t>Corruption</t>
  </si>
  <si>
    <t>Refers to an abuse of entrusted power for private gain, which can be instigated by individuals or organizations. Corruption includes practices such as bribery, facilitation payments, fraud, extortion, collusion, and money laundering. It also includes an offer or receipt of any gift, loan, fee, reward, or other advantage to or from any person as an inducement to do something that is dishonest, illegal, or a breach of trust in the conduct of the enterprise’s business. This can include cash or in-kind benefits, such as free goods, gifts, and holidays, or special personal services provided for the purpose of an improper advantage, or that can result in moral pressure to receive such an advantage.</t>
  </si>
  <si>
    <t>Confirmed Incidents of Corruption</t>
  </si>
  <si>
    <t>Incident of corruption that has been found to be substantiated. Confirmed incidents of corruption do not include incidents of corruption that are still under investigation in the reporting period.</t>
  </si>
  <si>
    <t>Non-Monetary Sanctions</t>
  </si>
  <si>
    <t>Non-monetary sanctions can include restrictions imposed by governments, regulatory authorities, or public agencies on the Company's activities or operations, such as withdrawal of trading licenses or licenses to operate in highly regulated industries. They can also include directives to cease or remediate an unlawful activity.</t>
  </si>
  <si>
    <t>Significant Instance of Non-Compliance</t>
  </si>
  <si>
    <t>Refers to cases that resulted in administrative or judicial sanctions and/or fines reported in the Company’s audited consolidated financial statements or in financial information filed on public record, including fines under appeal that may appear as balance sheet reserves in the financial statements.</t>
  </si>
  <si>
    <t>Conflict-affected or high-Risk Areas (CAHRAs)</t>
  </si>
  <si>
    <t>Consistent with the OECD Due Diligence Guidance for Responsible Supply Chains of Minerals from Conflict-Affected and High-Risk Areas, for the purposes of this disclosure conflict-affected and high-risk areas refer to areas identified by the presence of armed conflict, widespread violence, including violence generated by criminal networks, or other risks of serious and widespread harm to people. Armed conflict may take a variety of forms, such as a conflict of international or non-international character, which may involve two or more states, or may consist of wars of liberation, or insurgencies, civil wars. High-risk areas are those where there is a high risk of conflict or of widespread or serious abuses as defined in paragraph 1 of Annex II of the Guidance. Such areas are often characterised by political instability or repression, institutional weakness, insecurity, collapse of civil infrastructure, widespread violence and violations of national or international law.</t>
  </si>
  <si>
    <t>Forced or Compulsory Labour</t>
  </si>
  <si>
    <t>All work and service that is exacted from any person under the menace of any penalty and for which the said person has not offered herself or himself voluntarily.</t>
  </si>
  <si>
    <t>Reserves In or Near Areas of Conflict</t>
  </si>
  <si>
    <t>Reserves are considered to be in or near an area of active conflict if they are located in the same country as the active conflict. If the conflict is contained to a region, state, or designated area that is not proximate to the reserves then the site has been excluded from the scope of disclosure. Active conflict is defined according to the Uppsala Conflict Data Program (UCDP) definition as: A conflict, both state-based and non-state, is deemed to be active if there are at least 25 battle-related deaths per calendar year in one of the conflict’s dyads.</t>
  </si>
  <si>
    <t>Security personnel</t>
  </si>
  <si>
    <t>Individuals employed by the Company to provide security services, including protection of personnel, assets, and property, as well as access control, loss prevention, and escorting of persons, goods, or valuables.</t>
  </si>
  <si>
    <t xml:space="preserve">All Injury Rate (AIR) </t>
  </si>
  <si>
    <t>All-Incidence Rate includes fatalities, or work-related injuries resulting in death to employees on active mine property; non-fatal, days lost cases, or occupational injuries that result in loss of one or more days from the entity’s scheduled work or days of limited or restricted activity while at work; and no days lost cases, or occurrences requiring only medical treatment (beyond first aid); that is, non-fatal injury occurrences resulting only in loss of consciousness or medical treatment other than first aid.</t>
  </si>
  <si>
    <t>Fatality</t>
  </si>
  <si>
    <t>A fatality is defined as the death of a worker (employee or contractor) resulting from a work-related injury or occupational illness, regardless of the time between the incident and the death. This is a recordable case.</t>
  </si>
  <si>
    <t>First Aid Incident (FAI)</t>
  </si>
  <si>
    <t>An injury treated at the worksite which is recorded by the employee or the First Aider. The following treatments, regardless of the professional status of the person providing the treatment are considered. FAIs are not considered recordable incidents and are excluded from rate calculations. </t>
  </si>
  <si>
    <t>Frequency Rate</t>
  </si>
  <si>
    <t>All rates are expressed per 1,000,000 hours worked.</t>
  </si>
  <si>
    <t>Lost Time Incident (LTI)</t>
  </si>
  <si>
    <t>A work-related injury or illness that results in the employee being unable to work for at least one full day/shift after the day of incident. This is a recordable case.</t>
  </si>
  <si>
    <t>Medical Treatment Incident (MTI)</t>
  </si>
  <si>
    <t>Work-related illness or injury that is beyond first aid, provided by a licensed healthcare professional, which does not result in time lost from work or restricted duties. This is a recordable case.</t>
  </si>
  <si>
    <t>Recordable Work-Related Injuries</t>
  </si>
  <si>
    <t>Work-related injury or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</si>
  <si>
    <t>Restricted Duty Incident (RDI)</t>
  </si>
  <si>
    <t>A work-related medically treated injury or illness that prevents the employee from performing one or more routine functions of their regular job or working a full workday, but the person is still at work in some modified capacity. This is a recordable case.</t>
  </si>
  <si>
    <t xml:space="preserve">Total Recordable Injury (TRI) </t>
  </si>
  <si>
    <t xml:space="preserve">Total number of work-related injuries and illnesses that require medical treatment beyond first aid, result in lost workdays, or cause fatalities. </t>
  </si>
  <si>
    <t>A recordable work-related ill health is a work-related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</si>
  <si>
    <t xml:space="preserve">Work-Related Injury </t>
  </si>
  <si>
    <t>Negative impacts on health arising from exposure to hazards at work.</t>
  </si>
  <si>
    <t>People and Organizational Culture</t>
  </si>
  <si>
    <t>Administration / Technical / Professional</t>
  </si>
  <si>
    <t>Refers to professional, technical, analytical, administrative, and business-support individual contributor roles. Includes engineers, analysts, accountants, human resources professionals, IT professionals, buyers/procurement specialists, geologists, planners, coordinators, administrative assistants, technical specialists.</t>
  </si>
  <si>
    <t>Basic Salary</t>
  </si>
  <si>
    <t>Fixed, minimum amount paid to an employee for performing his or her duties. Excludes any additional remuneration, such as payments for overtime working or bonuses.</t>
  </si>
  <si>
    <t>Collective Bargaining</t>
  </si>
  <si>
    <t>All negotiations that take place between one or more employers or employers' organizations, on the one hand, and one or more workers' organizations (e.g., trade unions), on the other, for determining working conditions and terms of employment or for regulating relations between employers and workers.</t>
  </si>
  <si>
    <t>Employee Turnover</t>
  </si>
  <si>
    <t>Employees who leave the Company voluntarily or due to dismissal, retirement, or death in service.</t>
  </si>
  <si>
    <t>Executive</t>
  </si>
  <si>
    <t>Refers to top executive leadership with enterprise, regional, or major functional accountability. Includes vice-presidents, senior vice-presidents, executive vice-presidents, chief officers, country or regional vice-presidents.</t>
  </si>
  <si>
    <t>Freedom of Association</t>
  </si>
  <si>
    <t>Right of employers and workers to form, to join and to run their own organizations without prior authorization or interference by the state or any other entity.</t>
  </si>
  <si>
    <t>Includes incidents of discrimination on grounds of race, color, sex, religion, political opinion, national extraction, or social origin as defined by the ILO, or other relevant forms of discrimination involving internal and/or external stakeholders across operations in the reporting period. An ‘incident’ refers to a legal action or complaint registered with the reporting organization or competent authorities through a formal process (excluding the Whistleblower Hotline), or an instance of non-compliance identified by the organization through established procedures.</t>
  </si>
  <si>
    <t>Hiring Rate</t>
  </si>
  <si>
    <t>The percentage of employees newly hired during the reporting period relative to the total workforce. New hires rates are based on weighted headcount by region on the last day of each month.</t>
  </si>
  <si>
    <t>Management</t>
  </si>
  <si>
    <t>Refers to department or function leadership with accountability for operational performance, budgets, and execution. Includes managers, superintendents, department heads, senior operational leaders.</t>
  </si>
  <si>
    <t>Middle Management</t>
  </si>
  <si>
    <t>Refers to intermediate leadership between departmental management and senior site or enterprise leadership. Includes senior department heads, site operational leaders, technical leaders, regional functional leaders.</t>
  </si>
  <si>
    <t xml:space="preserve">Non-Guaranteed Hours Employee </t>
  </si>
  <si>
    <t>Refers to employees who are not guaranteed a minimum or fixed number of working hours per day, week, or month, but who may need to make themselves available for work as required.</t>
  </si>
  <si>
    <t>Operator</t>
  </si>
  <si>
    <t xml:space="preserve"> Refers to frontline operations, trades, maintenance, and site-service roles directly supporting production and daily site execution. Includes equipment operators, haul truck drivers, drill/blast operators, mill operators, mechanics, electricians, welders, labourers, plant operators, operations technicians, camp/site service workers, apprentices.</t>
  </si>
  <si>
    <t>Part-Time Employee</t>
  </si>
  <si>
    <t>Refers to employees whose working hours per week, month, or year are less than the number of working hours for full-time employees.</t>
  </si>
  <si>
    <t>Permanent Employee</t>
  </si>
  <si>
    <t>Refers to employees with a contract for an indeterminate period (i.e., indefinite contract) for full-time or part-time work.</t>
  </si>
  <si>
    <t>Return-to-Work Rate</t>
  </si>
  <si>
    <t>The percentage of employees who returned to work after parental leave ended during the reporting period. Return-to-work figures include employees whose parental leave began in prior reporting periods and concluded during 2025. Consequently, the number of employees returning to work in a given year may differ from the number initiating leave within the same reporting period.</t>
  </si>
  <si>
    <t>Senior Management</t>
  </si>
  <si>
    <t>Refers to senior site or enterprise leadership with broad strategic and cross-functional responsibility. Includes directors, general managers, senior directors, country leadership, corporate functional heads.</t>
  </si>
  <si>
    <t>Work stoppages involving 1,000 or more workers lasting one full shift or longer.</t>
  </si>
  <si>
    <t>Supervisor</t>
  </si>
  <si>
    <r>
      <t xml:space="preserve"> Refers to first-line leadership roles responsible for crews, shifts, functional teams, or day-to-day operational oversight. Includes shift supervisors, maintenance supervisors, mine supervisors, environmental supervisors, warehouse supervisors, H&amp;S</t>
    </r>
    <r>
      <rPr>
        <sz val="10"/>
        <color rgb="FFFF0000"/>
        <rFont val="Aptos Narrow"/>
        <family val="2"/>
        <scheme val="minor"/>
      </rPr>
      <t xml:space="preserve"> </t>
    </r>
    <r>
      <rPr>
        <sz val="10"/>
        <rFont val="Aptos Narrow"/>
        <family val="2"/>
        <scheme val="minor"/>
      </rPr>
      <t>supervisors, lab supervisors, community relations supervisors.</t>
    </r>
  </si>
  <si>
    <t>Temporary Employee</t>
  </si>
  <si>
    <t>Refers to employees with a contract for a limited period (i.e., fixed term contract) that ends when the specific time period expires, or when the specific task or event that has an attached time estimate is completed (e.g., the end of a project or return of replaced employees). Does not include interns, apprentices or volunteers.</t>
  </si>
  <si>
    <t>Indigenous Peoples and Community Engagement</t>
  </si>
  <si>
    <t xml:space="preserve">Conflicts or Violations of Land and Resource Rights </t>
  </si>
  <si>
    <t>Refers to disputes or infringements affecting communities or Indigenous Peoples' rights to land and natural resources—including customary, collective, and informal tenure rights—such as failure to obtain FPIC, unresolved land claims, involuntary resettlement, restricted access, or related grievances, assessed in line with applicable laws and international standards.</t>
  </si>
  <si>
    <t>Grievance</t>
  </si>
  <si>
    <t>Perceived injustice evoking an individual’s or a group’s sense of entitlement, which may be based on law, contract, explicit or implicit promises, customary practice, or general notions of fairness of aggrieved communities.</t>
  </si>
  <si>
    <t>Grievance Mechanism</t>
  </si>
  <si>
    <t>Routinized process through which grievances can be raised and remedy can be sought.</t>
  </si>
  <si>
    <t>Local Community</t>
  </si>
  <si>
    <t>Individuals or groups of individuals living or working in areas that are affected or that could be affected by the Company’s activities.</t>
  </si>
  <si>
    <t>Non-Technical Delays</t>
  </si>
  <si>
    <t>Includes shutdowns and project delays including, but not limited to, those resulting from pending regulatory permits or other political delays related to community concerns, community or stakeholder resistance or protest, and armed conflict.</t>
  </si>
  <si>
    <t>Remediation</t>
  </si>
  <si>
    <t>Means to counteract or make good a negative impact or provision of remedy. Examples include: apologies, financial or non-financial compensation, prevention of harm through injunctions or guarantees of non-repetition, punitive sanctions (whether criminal or administrative, such as fines), restitution, restoration, rehabilitation</t>
  </si>
  <si>
    <t>Reserves In or Near Indigenous Peoples' Land</t>
  </si>
  <si>
    <t xml:space="preserve"> “Near” is defined as within 5 kilometres of the recognized boundary of an area considered to be Indigenous land to the location of the entity’s proven and probable reserves. Indigenous lands are considered those occupied by people who self-identify as Indigenous per Article 33 of the United Nations Declaration on the Rights of Indigenous Peoples and the International Labour Organisation Convention No. 169, and likely have one or more of the following characteristics based on the working definition of “Indigenous Peoples” adopted by the United Nations: historical continuity with pre-colonial and/or pre-settler societies; strong link to territories and surrounding natural resources; distinct social, economic, or political systems; distinct language, culture, and beliefs; form non-dominant groups of society; and resolve to maintain and reproduce ancestral environments and systems as distinctive peoples and communities</t>
  </si>
  <si>
    <t>Social Incidents</t>
  </si>
  <si>
    <r>
      <t>Refers to all social events or incidents classified as moderate, major, or catastrophic consequence ranking resulting in unwanted events</t>
    </r>
    <r>
      <rPr>
        <sz val="10"/>
        <rFont val="Aptos Narrow"/>
        <family val="2"/>
      </rPr>
      <t>, which negatively impact (internal and/or external) local communities, Indigenous Peoples,  other rights holders, and vulnerable groups.</t>
    </r>
  </si>
  <si>
    <t xml:space="preserve">Economic Contributions </t>
  </si>
  <si>
    <t>Adjusted Operating Costs</t>
  </si>
  <si>
    <t xml:space="preserve">Operating costs represent cash operating expenditures incurred at site level. This includes expenditures for raw materials and consumables, contractors, repairs and maintenance, site administration, and exploration and evaluation activities. </t>
  </si>
  <si>
    <t>Capital Expenditures</t>
  </si>
  <si>
    <t xml:space="preserve">Capital expenditures include both sustaining and non-sustaining capital investments. </t>
  </si>
  <si>
    <t>Community Investments</t>
  </si>
  <si>
    <t>Community investments represent expenditures made during the reporting period to support external stakeholders and communities. This includes voluntary contributions, donations, and investments in community programs and infrastructure. This excludes expenditures that are directly related to core business operations or required for operational purposes.</t>
  </si>
  <si>
    <t>Net Revenues</t>
  </si>
  <si>
    <t>Revenues represent sales of gold and silver produced from the Company’s operating assets during the reporting period. These are aligned with reported sales in the MD&amp;A and reflect realized revenues from metal sales.</t>
  </si>
  <si>
    <t>Payments to Providers of Capital</t>
  </si>
  <si>
    <t xml:space="preserve">Payments to providers of capital include interest paid on debt and lease payments (both sustaining and non-sustaining). This reflects the cost of financing and capital structure obligations during the reporting period. </t>
  </si>
  <si>
    <t>Royalties</t>
  </si>
  <si>
    <t>Royalties represent payments made to governments, private entities, or other rights holders based on production, revenue, or profit from mining operations. These are typically calculated as a percentage of gold or silver production or sales and reflect contractual or statutory obligations tied to mineral rights and land use.</t>
  </si>
  <si>
    <t>Salaries and Employee Benefits</t>
  </si>
  <si>
    <t>Employee wages and benefits include total payroll costs for employees, including salaries, wages, and employer-paid contributions to government programs, as well as employee benefits. Benefits may include pensions, insurance, healthcare, and other employee support programs. Contractor costs are excluded and reflected within operating costs.</t>
  </si>
  <si>
    <t>Waste, Hazardous Materials and Incident Management</t>
  </si>
  <si>
    <t>Disposal</t>
  </si>
  <si>
    <t>Any operation which is not recovery, even where the operation has as a secondary consequence the recovery of energy.</t>
  </si>
  <si>
    <t>Hazardous Waste</t>
  </si>
  <si>
    <t>Waste that possesses any of the characteristics contained in Annex III of the Basel Convention, or that is considered to be hazardous by national legislation.</t>
  </si>
  <si>
    <t>Incidents Associated with Hazardous Materials &amp; Waste Management</t>
  </si>
  <si>
    <t>Includes incidents of seepage from tailings facilities that contain a meaningful concentration of hazardous raw materials, or significant spills or releases that occurred during handling, storage, transportation, use, and/or disposal of raw hazardous materials that had impacts on the environment, employees, and/or surrounding communities. A significant incident is defined as an incident that exceeds volume and concentration limits of local regulatory requirements or industry-accepted codes, or is otherwise included in the entity’s financial statements (e.g., due to resulting liabilities) or recorded by the entity as an incident required to be reported by local jurisdictions; or is an event that is significant in the judgement of the operator, even though it did not meet the criteria above.</t>
  </si>
  <si>
    <t>Incineration</t>
  </si>
  <si>
    <t>Controlled burning of waste at high temperatures.</t>
  </si>
  <si>
    <t>Landfilling</t>
  </si>
  <si>
    <t>Final depositing of solid waste at, below, or above ground level at engineered disposal sites.</t>
  </si>
  <si>
    <t>Preparation for Reuse</t>
  </si>
  <si>
    <t>Checking, cleaning, or repairing operations, by which products or components of products that have become waste are prepared to be put to use for the same purpose for which they were conceived.</t>
  </si>
  <si>
    <t>Recovery</t>
  </si>
  <si>
    <t>Operation wherein products, components of products, or materials that have become waste are prepared to fulfill a purpose in place of new products, components, or materials that would otherwise have been used for that purpose. In the context of waste reporting, recovery operations do not include energy recovery.</t>
  </si>
  <si>
    <t>Recycling</t>
  </si>
  <si>
    <t>Reprocessing of products or components of products that have become waste, to make new materials.</t>
  </si>
  <si>
    <t xml:space="preserve">Significant Environmental Incident </t>
  </si>
  <si>
    <t>Refers to an environmental incident with actual or reasonably expected consequences that are material to the Company on a consolidated basis, considering environmental impact, regulatory response, operational disruption, financial exposure, community impact and reputational risk. Reportability, notification, escalation or classification under law, permits, external standards or site-level procedures will be considered but will not, on its own, determine whether an incident is a Significant Environmental Incident.</t>
  </si>
  <si>
    <t>Significant Environmental Incident  Frequency Rate (SEIFR)</t>
  </si>
  <si>
    <t>SEIFR measures the number of Significant Environmental Incidents per 1,000,000 hours worked.</t>
  </si>
  <si>
    <t>Significant Spills</t>
  </si>
  <si>
    <t>Refers to a spill that is included in the Company’s financial statements, for example, due to resulting liabilities, or is recorded as a spill by the Company, that was reported to or required to be reported to regulatory authorities.</t>
  </si>
  <si>
    <t>Acid Rock Drainage (ARD)</t>
  </si>
  <si>
    <t>Acid rock drainage (ARD) also known as acid mine drainage (AMD), forms when naturally occurring iron-sulphide minerals, mainly pyrite (FeS2) and pyrrhotite (FeS) are exposed to oxidising conditions in air and water.</t>
  </si>
  <si>
    <t>Freshwater</t>
  </si>
  <si>
    <t>Water with concentration of total dissolved solids equal to or below 1,000 mg/L.</t>
  </si>
  <si>
    <t>Groundwater</t>
  </si>
  <si>
    <t>Water that is being held in, and that can be recovered from, an underground formation.</t>
  </si>
  <si>
    <t>Non-Compliances Related to Water Quality Permits, Standards, and Regulations</t>
  </si>
  <si>
    <t xml:space="preserve">Incidents governed by applicable jurisdictional statutory permits and regulations, which include the discharge of a hazardous substance, violation of pre-treatment requirements or total maximum daily load (TMDL) exceedances. The scope of disclosure only includes incidents of non-compliance that resulted in a formal enforcement action(s). </t>
  </si>
  <si>
    <t>Seawater</t>
  </si>
  <si>
    <t>Water in a sea or in an ocean</t>
  </si>
  <si>
    <t>Surface Water</t>
  </si>
  <si>
    <t>Water that occurs naturally on the Earth’s surface in ice sheets, ice caps, glaciers, icebergs, bogs, ponds, lakes, rivers, and streams.</t>
  </si>
  <si>
    <t>Third-Party Water</t>
  </si>
  <si>
    <t>Municipal water suppliers and municipal wastewater treatment plants, public or private utilities, and other organizations involved in the provision, transport, treatment, disposal, or use of water and effluent.</t>
  </si>
  <si>
    <t>Water Consumption</t>
  </si>
  <si>
    <t>Sum of all water that has been withdrawn and incorporated into products, used in the production of crops or generated as waste, has evaporated, transpired, or been consumed by humans or livestock, or is polluted to the point of being unusable by other users, and is therefore not released back to surface water, groundwater, seawater, or a third party over the course of the reporting period. Water consumption includes water that has been stored during the reporting period for use or discharge in a subsequent reporting period.</t>
  </si>
  <si>
    <t>Sum of effluents, used water, and unused water released to surface water, groundwater, seawater, or a third party, for which the Company has no further use, over the course of the reporting period.</t>
  </si>
  <si>
    <t>Water Recycled</t>
  </si>
  <si>
    <t>Water recycled is defined as water reused within the site for operational use.</t>
  </si>
  <si>
    <t>Water Stress</t>
  </si>
  <si>
    <t>Ability, or lack thereof, to meet the human and ecological demand for water.</t>
  </si>
  <si>
    <t>Sum of all water drawn from surface water, groundwater, seawater, or a third party for any use over the course of the reporting period.</t>
  </si>
  <si>
    <t>Biodiversity and Rehabilitation</t>
  </si>
  <si>
    <t>Land Disturbed</t>
  </si>
  <si>
    <t>Land disturbed includes the land area that was physically impacted during the reporting period by the activities of the business that substantially disrupts the pre-existing habitats and land cover.</t>
  </si>
  <si>
    <t>Land Rehabilitated</t>
  </si>
  <si>
    <t>Rehabilitated land where necessary treatment has been undertaken to achieve the pre-disturbance land use or an alternate land use developed in consultation with stakeholders and where no future land disturbance is planned other than maintenance activities (e.g., aligned with a Closure Plan).</t>
  </si>
  <si>
    <t>Sites in Ecologically Sensitive Areas</t>
  </si>
  <si>
    <t>A site is considered to be in an ecologically sensitive area when it is located wholly or partially within that area. A site is considered to be near an ecologically sensitive area when the area falls within the site’s area of influence (i.e., the area affected or potentially affected by the Company’s activities) or within a defined radius where the area of influence cannot be determined.</t>
  </si>
  <si>
    <t>Reserves In or Near Areas with Protected Conservation Status or Habitat Supporting Endangered Species</t>
  </si>
  <si>
    <t xml:space="preserve">Reserves are considered to be in endangered species habitat if they are in or near areas where species classified as Critically Endangered (CR) or Endangered (EN) on the IUCN Red List of Threatened Species are present. “Near” is defined as within 5 km of the boundary of an area of protected conservation status or an endangered species habitat to the location of the Company's proven and probable reserves. </t>
  </si>
  <si>
    <t>Emissions, Energy Transition and Climate Change</t>
  </si>
  <si>
    <t>Direct (Scope 1) GHG Emissions</t>
  </si>
  <si>
    <t>Greenhouse gas (GHG) emissions from sources that are owned or controlled by the Company.</t>
  </si>
  <si>
    <t>Indirect (Scope 2) GHG Emissions</t>
  </si>
  <si>
    <t>Greenhouse gas (GHG) emissions that result from the generation of purchased or acquired electricity, heating, cooling, and steam consumed by the Company.</t>
  </si>
  <si>
    <t>Greenhouse Gas (GHG)</t>
  </si>
  <si>
    <t>Gas that contributes to the greenhouse effect by absorbing infrared radiation.</t>
  </si>
  <si>
    <t>Significant Air Emissions</t>
  </si>
  <si>
    <t>Air emissions regulated under international conventions and/or national laws or regulations.</t>
  </si>
  <si>
    <t>2025 SUSTAINABILITY PERFORMANCE SUMMARY(1)</t>
  </si>
  <si>
    <t>Indicators</t>
  </si>
  <si>
    <t>OPERATIONS</t>
  </si>
  <si>
    <t>PRODUCTION</t>
  </si>
  <si>
    <t>SASB EM-MM-000.A</t>
  </si>
  <si>
    <t>Total Ore Processed (t) (2)</t>
  </si>
  <si>
    <t>Total Gold Produced (oz) (2)</t>
  </si>
  <si>
    <t>779,544 (922,827)</t>
  </si>
  <si>
    <t>HEALTH AND SAFETY</t>
  </si>
  <si>
    <t>INJURIES</t>
  </si>
  <si>
    <t>GRI 403-9, SASB EM-MM 320a.1</t>
  </si>
  <si>
    <t>Total Recordable Injury Frequency Rate (3)</t>
  </si>
  <si>
    <t>Lost Time Injury Frequency Rate (3)</t>
  </si>
  <si>
    <t>Number of Fatalities</t>
  </si>
  <si>
    <t>ENVIRONMENT</t>
  </si>
  <si>
    <t>ENERGY AND CLIMATE CHANGE</t>
  </si>
  <si>
    <t>GRI 302-1, SASB-EM-MM 130a.1</t>
  </si>
  <si>
    <t>Energy Consumption (GJ)</t>
  </si>
  <si>
    <t>Diesel</t>
  </si>
  <si>
    <t>Gasoline</t>
  </si>
  <si>
    <t>Propane</t>
  </si>
  <si>
    <t>Explosives</t>
  </si>
  <si>
    <t>Natural Gas</t>
  </si>
  <si>
    <t>Electricity - Grid</t>
  </si>
  <si>
    <t>GRI 302-3</t>
  </si>
  <si>
    <t>Energy intensity (GJ/oz Gold Produced) (3)</t>
  </si>
  <si>
    <t>GRI 305-1, SASB EM-MM 110a.1</t>
  </si>
  <si>
    <t>Direct (Scope 1) GHG Emissions (tCO2e)</t>
  </si>
  <si>
    <t>GRI 305-2, SASB EM-MM 110a.1</t>
  </si>
  <si>
    <t>Indirect (Scope 2) Market-based GHG Emissions (tCO2e)</t>
  </si>
  <si>
    <t>GRI 305-4</t>
  </si>
  <si>
    <t>Total (Scope 1 + 2) GHG Emissions (tCO2e)</t>
  </si>
  <si>
    <t>Emission Intensity (tCO2e/oz Gold Produced) (4)</t>
  </si>
  <si>
    <t>WATER STEWARDSHIP</t>
  </si>
  <si>
    <t>GRI 303-3, SASB EM-MM-140a.1</t>
  </si>
  <si>
    <t>Water Withdrawn</t>
  </si>
  <si>
    <r>
      <t>Total Water Withdrawn (m</t>
    </r>
    <r>
      <rPr>
        <vertAlign val="superscript"/>
        <sz val="10"/>
        <color rgb="FF000000"/>
        <rFont val="Aptos Narrow"/>
        <family val="2"/>
        <scheme val="minor"/>
      </rPr>
      <t>3</t>
    </r>
    <r>
      <rPr>
        <sz val="10"/>
        <color rgb="FF000000"/>
        <rFont val="Aptos Narrow"/>
        <family val="2"/>
        <scheme val="minor"/>
      </rPr>
      <t>)</t>
    </r>
  </si>
  <si>
    <t>Water Discharged</t>
  </si>
  <si>
    <t>GRI 303-4</t>
  </si>
  <si>
    <r>
      <t>Total Water Discharged (m</t>
    </r>
    <r>
      <rPr>
        <vertAlign val="superscript"/>
        <sz val="10"/>
        <color rgb="FF000000"/>
        <rFont val="Aptos Narrow"/>
        <family val="2"/>
        <scheme val="minor"/>
      </rPr>
      <t>3</t>
    </r>
    <r>
      <rPr>
        <sz val="10"/>
        <color rgb="FF000000"/>
        <rFont val="Aptos Narrow"/>
        <family val="2"/>
        <scheme val="minor"/>
      </rPr>
      <t>)</t>
    </r>
  </si>
  <si>
    <t>BIODIVERSITY</t>
  </si>
  <si>
    <t>GRI 304-3</t>
  </si>
  <si>
    <t xml:space="preserve">Habitat Protected </t>
  </si>
  <si>
    <t>Total area disturbed in calendar year (ha)</t>
  </si>
  <si>
    <t>Total area rehabilitated in calendar year (ha)</t>
  </si>
  <si>
    <t>TAILINGS AND WASTE MANAGEMENT</t>
  </si>
  <si>
    <t>GRI 306-2, GRI 306-3, GRI G4 MM3, SASB-EM-MM-150a.5, SASB-EM-MM-150a.6</t>
  </si>
  <si>
    <t>Mineral Waste</t>
  </si>
  <si>
    <t>Total Waste Rock (t)</t>
  </si>
  <si>
    <t>Total Tailings (t)</t>
  </si>
  <si>
    <t>GRI 306-3</t>
  </si>
  <si>
    <t>Non-Mineral Waste</t>
  </si>
  <si>
    <t>SASB-EM-MM 150a.4</t>
  </si>
  <si>
    <t>Total Hazardous Waste (t)</t>
  </si>
  <si>
    <t>SASB-EM-MM 150a.7</t>
  </si>
  <si>
    <t>Total Non-Hazardous Waste (t)</t>
  </si>
  <si>
    <t>Equinox-specific metric</t>
  </si>
  <si>
    <t>Significant Environmental Incident Frequency Rate (5)</t>
  </si>
  <si>
    <t>SOCIAL</t>
  </si>
  <si>
    <t>WORKFORCE</t>
  </si>
  <si>
    <t>GRI 2-8</t>
  </si>
  <si>
    <t>Employees</t>
  </si>
  <si>
    <t>SASB EM-MM-000.B</t>
  </si>
  <si>
    <t>Contractors</t>
  </si>
  <si>
    <t>% Contractors</t>
  </si>
  <si>
    <t>GRI 2-30</t>
  </si>
  <si>
    <t>% Unionized employees</t>
  </si>
  <si>
    <t>DIVERSITY AND EQUAL OPPORTUNITY</t>
  </si>
  <si>
    <t>GRI 405-1</t>
  </si>
  <si>
    <t>Diversity and Inclusion</t>
  </si>
  <si>
    <t>% Female Employees</t>
  </si>
  <si>
    <t>% Female Board of Directors</t>
  </si>
  <si>
    <t>% Female Executives (6)</t>
  </si>
  <si>
    <t>Total number of Executive</t>
  </si>
  <si>
    <t>% Female Senior Management (7)</t>
  </si>
  <si>
    <t>Total number of Senior Management</t>
  </si>
  <si>
    <t>% Female Turnover</t>
  </si>
  <si>
    <t>EMPLOYMENT</t>
  </si>
  <si>
    <t>Development and Engagement</t>
  </si>
  <si>
    <t>GRI 401-1</t>
  </si>
  <si>
    <t>% Employee New Hires</t>
  </si>
  <si>
    <t>% Employee Turnover</t>
  </si>
  <si>
    <t>% Local Employment (8)</t>
  </si>
  <si>
    <t>GRI 202-2</t>
  </si>
  <si>
    <t>% Senior Management Hired from the Country of Operations</t>
  </si>
  <si>
    <t>PEOPLE AND COMMUNITY ENGAGEMENT</t>
  </si>
  <si>
    <t>Number and Duration of Non-technical Delays (9)</t>
  </si>
  <si>
    <t>1 delay, 275 days</t>
  </si>
  <si>
    <t>2 delays, 6 days</t>
  </si>
  <si>
    <t>3 delays, 60 days</t>
  </si>
  <si>
    <t>GRI 14.20.3, SASB EM-MM-310a.2</t>
  </si>
  <si>
    <t>Number of Days of Strikes and Lockouts (10)</t>
  </si>
  <si>
    <t>SASB EM-MM 310a.2</t>
  </si>
  <si>
    <t>ECONOMIC CONTRIBUTIONS</t>
  </si>
  <si>
    <t>Socio-economic contribution</t>
  </si>
  <si>
    <t>GRI 203-1</t>
  </si>
  <si>
    <t>Total Community Investment (11)</t>
  </si>
  <si>
    <t>GRI 204-1</t>
  </si>
  <si>
    <t>% of Local Procurement Spending (12)</t>
  </si>
  <si>
    <t>(1) Year-over-year comparisons should be interpreted in the context of the June 2025 combination with Calibre Mining and associated changes in reporting scope.
(2) Gold production is presented as attributable ounces, reflecting production during Equinox Gold’s period of ownership in 2025, with full-year 2025 gold production shown in parentheses.
(3) Health and Safety rates have been calculated based on 1,000,000 hours worked.
(4) The denominator used to calculate intensity rates is the total ounces of gold produced from all wholly owned and operated mine sites as of December 31, 2025 (896,688 oz), as reported in the Company’s financial disclosures. This excludes production from the Pan Mine, which was divested October 1, 2025.
(5) SEIFR measures the number of significant environmental incidents per 1,000,000 hours worked.
(6) Refers to top executive leadership with enterprise, regional, or major functional accountability. Includes vice presidents, senior vice presidents, executive vice presidents, chief officers, and country or regional vice presidents.
(7) Refers to senior site or enterprise leadership with broad strategic and cross-functional responsibility. Includes directors, general managers, senior directors, country leadership, and corporate functional heads.
(8) Refers to individuals originating from, residing in, or registered within municipalities or communities located in the direct area of influence of a mining operation.
(9) The scope includes shutdowns and project delays including, but not limited to, those resulting from pending regulatory permits or other political delays, related to community concerns, community or stakeholder resistance or protest, and armed conflict. 
(10) The scope includes work stoppages due to disputes between labour and management, involving 1,000 or more workers, lasting one full shift or longer, and duration in worker days idle. Worker days idle are calculated by multiplying the number of idle days by the number of workers involved
(11) Community investments represent expenditures made during the reporting period to support external stakeholders and communities. This includes voluntary contributions, donations, and investments in community programs and infrastructure. This excludes expenditures that are directly related to core business operations or required for operational purposes.
(12) Refers to suppliers originating from, residing in, or registered within municipalities or communities located in the direct area of influence of a mining operation. Data presented are aligned with MD&amp;A reporting and reflects the period during which assets were under Equinox Gold’s operational control.</t>
  </si>
  <si>
    <t>BIODIVERSITY AND REHABILITATION</t>
  </si>
  <si>
    <t xml:space="preserve">Information in this section covers the full 2025 reporting period for all operations under Equinox Gold’s control at year-end. Pre-combination data is presented for reporting purposes only and does not imply that such operations were under the Company’s operational control or legal responsibility prior to the combination date. </t>
  </si>
  <si>
    <t>Management Approach</t>
  </si>
  <si>
    <r>
      <t xml:space="preserve">Disclosures: </t>
    </r>
    <r>
      <rPr>
        <sz val="10"/>
        <color theme="0"/>
        <rFont val="Aptos Narrow"/>
        <family val="2"/>
        <scheme val="minor"/>
      </rPr>
      <t>GRI 3-3 (14.4.1, 14.8.1), 101-1 (14.4.2), 101-2 (14.4.3), 101-4 (14.4.4); SASB EM-MM-160a.1</t>
    </r>
  </si>
  <si>
    <t>See our Management Approach to Sustainability &gt; Biodiversity and Rehabilitation</t>
  </si>
  <si>
    <r>
      <t xml:space="preserve">Disclosure: </t>
    </r>
    <r>
      <rPr>
        <sz val="10"/>
        <color theme="0"/>
        <rFont val="Aptos Narrow"/>
        <family val="2"/>
        <scheme val="minor"/>
      </rPr>
      <t>GRI 101-5 (14.4.5); SASB EM-MM-160a.3</t>
    </r>
  </si>
  <si>
    <t>Biodiversity Overview FY2025</t>
  </si>
  <si>
    <t>Aurizona(7)</t>
  </si>
  <si>
    <t>Ontario, Canada</t>
  </si>
  <si>
    <t>Newfoundland &amp; Labrador, Canada</t>
  </si>
  <si>
    <t>California, USA</t>
  </si>
  <si>
    <t>Guerrero, Mexico</t>
  </si>
  <si>
    <t>León, Nicaragua</t>
  </si>
  <si>
    <t>Chontales, Nicaragua</t>
  </si>
  <si>
    <t>Maranhão, Brazil</t>
  </si>
  <si>
    <t>Bahia, Brazil</t>
  </si>
  <si>
    <t>Minas Gerais, Brazil</t>
  </si>
  <si>
    <t>Size of Permitted Site (Ha) (1)</t>
  </si>
  <si>
    <t>Activities</t>
  </si>
  <si>
    <t>Development, mining operations</t>
  </si>
  <si>
    <t>Site in an ecologically sensitive area (2) (Yes/No)</t>
  </si>
  <si>
    <t>Yes</t>
  </si>
  <si>
    <t>No</t>
  </si>
  <si>
    <t>Name of Area</t>
  </si>
  <si>
    <t>Located near the MacLeod Provincial Park</t>
  </si>
  <si>
    <t>Outfitter Buffer for Notch Mountain Outfitters Inc. / Valentine Lake Lodge</t>
  </si>
  <si>
    <t>Located near Picacho ACEC</t>
  </si>
  <si>
    <t>Located near the Castle Mountains National Monument and the Mojave National Preserve</t>
  </si>
  <si>
    <t>Located near Cañada del Zopilote</t>
  </si>
  <si>
    <t>Located near Reentrâncias Maranhenses Environmental Protection Area and the Extractive Reserve of Arapiranga-Tromaí</t>
  </si>
  <si>
    <t>Located near the Serra Nova and Talhado State Park</t>
  </si>
  <si>
    <t>Type</t>
  </si>
  <si>
    <t>Areas Important for the delivery of ecosystem service benefits to Indigenous People</t>
  </si>
  <si>
    <t>Areas important for the delivery of ecosystem service benefits to Indigenous People</t>
  </si>
  <si>
    <t>Area of biodiversity importance</t>
  </si>
  <si>
    <t/>
  </si>
  <si>
    <t>Area of Biodiversity importance</t>
  </si>
  <si>
    <t>Distance of the site to ecologically sensitive area (km) (3)</t>
  </si>
  <si>
    <t>Proven reserves that are located in or near (4) sites with protected conservation status (5) or endangered species habitat (6) (%)</t>
  </si>
  <si>
    <t>Probable reserves that are located in or near (4) sites with protected conservation status (5) or endangered species habitat (6) (%)</t>
  </si>
  <si>
    <t>(1) 2024 values provided for Brazil Operations.
(2) A site is considered to be in an ecologically sensitive area when it is located wholly or partially within that area. A site is considered to be near an ecologically sensitive area when the area falls within the site’s area of influence (i.e., the area affected or potentially affected by the Company’s activities) or within a defined radius where the area of influence cannot be determined.
(3) The Taskforce on Nature-related Financial Disclosures (TNFD) defines ecologically sensitive areas as areas of biodiversity importance, areas of high ecosystem integrity, areas of rapid decline in ecosystem integrity, areas of high physical water risks, and areas important for the delivery of ecosystem service benefits to Indigenous Peoples, local communities, and other stakeholders. 
(4) For the purposes of this disclosure, “near” is defined as within 5 kilometres (km) of the boundary of an area of protected conservation status or an endangered species habitat to the location of the Company's proven and probable reserves.
(5) Reserves are considered to be in areas of protected conservation status if they are located within: International Union for Conservation of Nature (IUCN) Protected Areas (categories I-VI), Ramsar Wetlands of International Importance, UNESCO World Heritage Sites, Biosphere Reserves british within the framework of the United Nations Educational, Scientific and Cultural Organization (UNESCO)’s Man and the Biosphere Programme, Natura 2000 sites, or sites that meet the IUCN’s definition of a protected area: “A protected area is a clearly defined geographical space, recognised, dedicated and managed, through legal or other effective means, to achieve the long-term conservation of nature with associated ecosystem services and cultural values”. 
(6) Reserves are considered to be in endangered species habitat if they are in or near areas where species classified as Critically Endangered (CR) or Endangered (EN) on the IUCN Red List of Threatened Species are present.
(7) Site identified as having the most significant impacts on biodiversity.</t>
  </si>
  <si>
    <t>Disturbance &amp; Rehabilitation by Mine Site</t>
  </si>
  <si>
    <r>
      <t>Disclosures:</t>
    </r>
    <r>
      <rPr>
        <sz val="10"/>
        <color theme="0"/>
        <rFont val="Aptos Narrow"/>
        <family val="2"/>
        <scheme val="minor"/>
      </rPr>
      <t xml:space="preserve"> GRI 101-2, 14.8.4, 14.8.5, 14.8.6, 14.8.7, 14.8.8, 14.8.9</t>
    </r>
  </si>
  <si>
    <t>Areas Disturbed or Rehabilitated FY2025</t>
  </si>
  <si>
    <t>Bahia(1)</t>
  </si>
  <si>
    <t>Biodiversity management plan in place (Yes/No)</t>
  </si>
  <si>
    <t>Closure and rehabilitation plan in place (Yes/No)</t>
  </si>
  <si>
    <t>Plan approved by relevant authorities (Yes/No)</t>
  </si>
  <si>
    <t>Date of most recent review of the plan (Year)</t>
  </si>
  <si>
    <t>Site undergoing closure and rehabilitation activities (Yes/No)</t>
  </si>
  <si>
    <t>Site closed and rehabilitated (Yes/No)</t>
  </si>
  <si>
    <t>Total land disturbed (2) and not yet rehabiliated (3) in 2025 (Ha)</t>
  </si>
  <si>
    <t>Land under restoration or rehabilitation (Ha)</t>
  </si>
  <si>
    <t>Total number of trees planted</t>
  </si>
  <si>
    <t>(1) Biodiversity management plan in place at Santa Luz. Biodiversity management measures included in Fazenda's Environmental Management Plan, as established by the National Environmental Agency.
(2) Land disturbed includes the land area that was physically impacted during the reporting period by the activities of the business that substantially disrupts the pre-existing habitats and land cover.
(3) Rehabilitated land where necessary treatment has been undertaken to achieve the pre-disturbance land use or an alternate land use developed in consultation with stakeholders and where no future land disturbance is planned other than maintenance activities (e.g., aligned with a closure plan).</t>
  </si>
  <si>
    <t>BUSINESS ETHICS, COMPLIANCE, AND TRANSPARENCY</t>
  </si>
  <si>
    <r>
      <t xml:space="preserve">Disclosures: </t>
    </r>
    <r>
      <rPr>
        <sz val="10"/>
        <color theme="0"/>
        <rFont val="Aptos Narrow"/>
        <family val="2"/>
        <scheme val="minor"/>
      </rPr>
      <t>GRI 3-3 (14.22.1, 14.24.1); SASB EM-MM-510a.1</t>
    </r>
  </si>
  <si>
    <t>See our Management Approach to Sustainability &gt; Business Ethics, Compliance, and Transparency</t>
  </si>
  <si>
    <t xml:space="preserve">Whistleblower Reports </t>
  </si>
  <si>
    <r>
      <t xml:space="preserve">Disclosure: </t>
    </r>
    <r>
      <rPr>
        <sz val="10"/>
        <color theme="0"/>
        <rFont val="Aptos Narrow"/>
        <family val="2"/>
        <scheme val="minor"/>
      </rPr>
      <t>GRI 2-16</t>
    </r>
  </si>
  <si>
    <t>Reports Registered through the Whistleblower Service FY2025</t>
  </si>
  <si>
    <t>Reported Inappropriate Behaviour</t>
  </si>
  <si>
    <t>Reported Sexual Harassment</t>
  </si>
  <si>
    <t>Reported Human Resources - Other</t>
  </si>
  <si>
    <t>Reported Environmental, Health and Safety Infringements</t>
  </si>
  <si>
    <t>Reported Bribery/Fraud or Supply Chain</t>
  </si>
  <si>
    <t>109</t>
  </si>
  <si>
    <r>
      <t xml:space="preserve">Disclosure: </t>
    </r>
    <r>
      <rPr>
        <sz val="10"/>
        <color theme="0"/>
        <rFont val="Aptos Narrow"/>
        <family val="2"/>
        <scheme val="minor"/>
      </rPr>
      <t>GRI 2-27</t>
    </r>
  </si>
  <si>
    <t>Compliance with Laws and Regulations FY2025</t>
  </si>
  <si>
    <t>Total number of significant instances of non-compliance with laws and regulations (1)</t>
  </si>
  <si>
    <t>Number of significant instances of non-compliance with laws and regulations for which fines were incurred</t>
  </si>
  <si>
    <t>Number of significant instances of non-compliance with laws and regulations for which non-monetary sanctions (2) were incurred</t>
  </si>
  <si>
    <t>Total monetary value of fines for instances of non-compliance with laws and regulations that were paid during the reporting period</t>
  </si>
  <si>
    <t>Total number of fines for instances of non-compliance with laws and regulations that were paid during the reporting period</t>
  </si>
  <si>
    <t>Monetary value of fines paid during the reporting period for instances of non-compliance with laws and regulations that occurred in the current reporting period</t>
  </si>
  <si>
    <t>Number of fines paid during the reporting period for instances of non-compliance with laws and regulations that occurred in the current reporting period</t>
  </si>
  <si>
    <t>Monetary value of fines paid during the reporting period for instances of non-compliance with laws and regulations that occurred in previous reporting periods</t>
  </si>
  <si>
    <t>Number of fines paid during the reporting period for instances of non-compliance with laws and regulations that occurred in previous reporting periods</t>
  </si>
  <si>
    <t>Description of the significant instances of non-compliance</t>
  </si>
  <si>
    <t>(1) A significant instance of non-compliance refers to a case that resulted in administrative or judicial sanctions and/or fines reported in the Company’s audited consolidated financial statements or in financial information filed on public record, including fines under appeal that may appear as balance sheet reserves in the financial statements.
(2) Non-monetary sanctions can include restrictions imposed by governments, regulatory authorities, or public agencies on the Company’s activities or operations, such as withdrawal of trading licenses or licenses to operate in highly regulated industries. They can also include directives to cease or remediate an unlawful activity.</t>
  </si>
  <si>
    <r>
      <t xml:space="preserve">Disclosure: </t>
    </r>
    <r>
      <rPr>
        <sz val="10"/>
        <color theme="0"/>
        <rFont val="Aptos Narrow"/>
        <family val="2"/>
        <scheme val="minor"/>
      </rPr>
      <t>GRI 205-1 (14.22.2)</t>
    </r>
  </si>
  <si>
    <t>Operations Assessed for Risks Related to Corruption FY2025</t>
  </si>
  <si>
    <t>Number of operations assessed for risks related to corruption (1)</t>
  </si>
  <si>
    <t>Percentage of operations assessed for risks related to corruption</t>
  </si>
  <si>
    <t>Significant risks related to corruption identified through the risk assessment</t>
  </si>
  <si>
    <t>None</t>
  </si>
  <si>
    <r>
      <t>(1) In 2025, Los Filos, Aurizona, Bahia</t>
    </r>
    <r>
      <rPr>
        <sz val="9"/>
        <color rgb="FFFF0000"/>
        <rFont val="Aptos Narrow"/>
        <family val="2"/>
        <scheme val="minor"/>
      </rPr>
      <t>,</t>
    </r>
    <r>
      <rPr>
        <sz val="9"/>
        <color theme="1"/>
        <rFont val="Aptos Narrow"/>
        <family val="2"/>
        <scheme val="minor"/>
      </rPr>
      <t xml:space="preserve"> and RDM underwent risk assessments. These assessments were conducted internally using a high-level Anti-Bribery and Corruption (ABC) risk assessment methodology designed to identify potential exposure areas and evaluate the effectiveness of existing preventive and detective controls. The assessments considered operational activities, third-party interactions, and governance maturity at the site level. </t>
    </r>
  </si>
  <si>
    <r>
      <t xml:space="preserve">Disclosure: </t>
    </r>
    <r>
      <rPr>
        <sz val="10"/>
        <color theme="0"/>
        <rFont val="Aptos Narrow"/>
        <family val="2"/>
        <scheme val="minor"/>
      </rPr>
      <t>GRI 205-3 (14.22.4)</t>
    </r>
  </si>
  <si>
    <t>Confirmed Incidents of Corruption and Actions Taken FY2025</t>
  </si>
  <si>
    <t>Number of confirmed incidents of corruption (1)</t>
  </si>
  <si>
    <t>Nature of confirmed incidents of corruption (1)</t>
  </si>
  <si>
    <t>Number of confirmed incidents in which employees were dismissed or disciplined for corruption.</t>
  </si>
  <si>
    <t>Number of confirmed incidents in which contracts with business partners were terminated or not renewed due to violations related to corruption</t>
  </si>
  <si>
    <t>Public legal cases regarding corruption brought against the organization or its employees during the reporting period and the outcomes of such cases</t>
  </si>
  <si>
    <t>(1) This determination was based on information compiled by the Legal Department through site-level confirmation processes, applying a GRI-aligned definition of substantiated corruption incidents—excluding matters still under investigation—and defining public legal cases as formal investigations, prosecutions, or court proceedings related to corruption that have entered the public legal record and involve the Company or its employees in connection with Company business activities.</t>
  </si>
  <si>
    <r>
      <t xml:space="preserve">Disclosure: </t>
    </r>
    <r>
      <rPr>
        <sz val="10"/>
        <color theme="0"/>
        <rFont val="Aptos Narrow"/>
        <family val="2"/>
        <scheme val="minor"/>
      </rPr>
      <t>EM-MM-510a.2</t>
    </r>
  </si>
  <si>
    <t>Transparency International’s Corruption Perception Index Ranking(1)</t>
  </si>
  <si>
    <t>Operation</t>
  </si>
  <si>
    <t>Greenstone, Valentine</t>
  </si>
  <si>
    <t>Mesquite, Castle Mountain</t>
  </si>
  <si>
    <t>El Limon, La Libertad</t>
  </si>
  <si>
    <t>Aurizona, Bahia, RDM</t>
  </si>
  <si>
    <t>Country Ranking in the Transparency International’s Corruption Perception Index</t>
  </si>
  <si>
    <t>16/180</t>
  </si>
  <si>
    <t>29/180</t>
  </si>
  <si>
    <t>141/180</t>
  </si>
  <si>
    <t>175/180</t>
  </si>
  <si>
    <t>107/175</t>
  </si>
  <si>
    <t>Net production in countries ranked among the 20 lowest in Transparency International's Corruption Perception Index (oz Au produced).</t>
  </si>
  <si>
    <t>(1) Transparency International’s Corruption Perception Index for 2025 available at: https://www.transparency.org/en/cpi/2025</t>
  </si>
  <si>
    <t>EMISSIONS, ENERGY TRANSITION, AND CLIMATE CHANGE</t>
  </si>
  <si>
    <r>
      <t xml:space="preserve">Disclosures: </t>
    </r>
    <r>
      <rPr>
        <sz val="10"/>
        <color theme="0"/>
        <rFont val="Aptos Narrow"/>
        <family val="2"/>
        <scheme val="minor"/>
      </rPr>
      <t>GRI 3-3 (14.5.1, 14.6.1, 14.6.2, 14.6.3); 306-1 (14.5.2); 306-2 (14.5.3); SASB EM-MM-150a.10; EM-MM-540a.1; EM-MM-540a.2</t>
    </r>
  </si>
  <si>
    <t>See our Management Approach to Sustainability &gt; Emissions, Energy Transition, and Climate Change</t>
  </si>
  <si>
    <r>
      <t xml:space="preserve">Disclosures: </t>
    </r>
    <r>
      <rPr>
        <sz val="10"/>
        <color theme="0"/>
        <rFont val="Aptos Narrow"/>
        <family val="2"/>
        <scheme val="minor"/>
      </rPr>
      <t>GRI 302-1 (14.1.2); SASB EM-MM-130a.1</t>
    </r>
  </si>
  <si>
    <t>Total Energy Consumption by Type FY2025(1)</t>
  </si>
  <si>
    <t>%</t>
  </si>
  <si>
    <t>Non-Renewable Fuel Consumed</t>
  </si>
  <si>
    <t>Renewable Fuel Consumed</t>
  </si>
  <si>
    <r>
      <t xml:space="preserve">(1) </t>
    </r>
    <r>
      <rPr>
        <sz val="9"/>
        <rFont val="Aptos Narrow"/>
        <family val="2"/>
        <scheme val="minor"/>
      </rPr>
      <t>Energy consumption data is sourced from site energy records, utility bills, fuel purchase logs, and operational meter readings. Reported data include all operational energy use under Equinox Gold’s operational control, using the following categories: Diesel, gasoline, propane, explosives, electricity purchased from grid sources, and natural gas where relevant. Energy totals are expressed in gigajoules (GJ). Where primary data were in alternative units (e.g., litres of diesel), these were converted using established energy conversion factors. Activity data, including fuel consumption volumes, were converted into energy (GJ) and greenhouse gas emissions (tCO₂e) using established conversion factors. Emission factors were sourced from Environment and Climate Change Canada, while energy content values were aligned with Natural Resources Canada, enabling consistent calculation of emissions across operations. Electricity-related emission factors were applied based on the geographic location of each operation, reflecting the characteristics of the local grid. The energy data set includes all wholly owned and operated mine sites as at December 31, 2025.</t>
    </r>
  </si>
  <si>
    <t>Total electricity, heating, cooling and steam consumption FY2025(1)</t>
  </si>
  <si>
    <t>Value</t>
  </si>
  <si>
    <t>Heating, Electricity (Propane and Natural Gas) - (GJ)</t>
  </si>
  <si>
    <t>Cooling from Gas Refigerants (TCO2 eq)</t>
  </si>
  <si>
    <t>(1) No electricity, heating, cooling, or steam is sold by the Company.</t>
  </si>
  <si>
    <r>
      <t xml:space="preserve">Disclosure: </t>
    </r>
    <r>
      <rPr>
        <sz val="10"/>
        <color theme="0"/>
        <rFont val="Aptos Narrow"/>
        <family val="2"/>
        <scheme val="minor"/>
      </rPr>
      <t>GRI</t>
    </r>
    <r>
      <rPr>
        <b/>
        <sz val="10"/>
        <color theme="0"/>
        <rFont val="Aptos Narrow"/>
        <family val="2"/>
        <scheme val="minor"/>
      </rPr>
      <t xml:space="preserve"> </t>
    </r>
    <r>
      <rPr>
        <sz val="10"/>
        <color theme="0"/>
        <rFont val="Aptos Narrow"/>
        <family val="2"/>
        <scheme val="minor"/>
      </rPr>
      <t>302-3 (14.1.4)</t>
    </r>
  </si>
  <si>
    <t>2022</t>
  </si>
  <si>
    <t>2023</t>
  </si>
  <si>
    <t>2024</t>
  </si>
  <si>
    <t>2025</t>
  </si>
  <si>
    <t>Energy Intensity Ratio (GJ/oz gold produced) (1)</t>
  </si>
  <si>
    <t>(1) Energy included in the intensity ratio comprises all energy consumed by the Company during the reporting period, including diesel, gasoline, propane, explosives, electricity, and natural gas. The ratio uses energy consumption within the organization. The denominator used to calculate the energy intensity ratio is the total ounces of gold produced from all wholly owned and operated mine sites as of December 31, 2025 (896,688 oz), as reported in the Company’s financial disclosures.</t>
  </si>
  <si>
    <r>
      <t xml:space="preserve">Disclosures: </t>
    </r>
    <r>
      <rPr>
        <sz val="10"/>
        <color theme="0"/>
        <rFont val="Aptos Narrow"/>
        <family val="2"/>
        <scheme val="minor"/>
      </rPr>
      <t>GRI 305-1 (14.1.5); &amp; SASB EM-MM-110a.1</t>
    </r>
  </si>
  <si>
    <t>Direct (Scope 1) GHG Emissions FY2025 (tCO2e)(1)</t>
  </si>
  <si>
    <t>(1) Direct (Scope 1) greenhouse gas (GHG) emissions include emissions from fuel combustion in mobile and stationary equipment, on-site power generation, and fugitive emissions (where applicable) across operations under the Company’s operational control. The following gases are included: CO2, CH4 , N2O, HFCs, PFCs, SF6, NF3. Emissions are calculated in accordance with the GHG Protocol Corporate Accounting and Reporting Standard and relevant guidance from the Intergovernmental Panel on Climate Change (IPCC) 2006 Guidelines for National Greenhouse Gas Inventories (as updated). Emission factors are sourced from: IPCC default emission factors, where jurisdiction-specific factors are not available; national government-published emission factors, where required or available; and International Energy Agency (IEA) references, where applicable. Global Warming Potential (GWP) values are based on the IPCC Fifth Assessment Report (AR5), unless otherwise required by local regulation. The Company consolidates emissions using the operational control approach, consistent with financial reporting boundaries. Activity data is derived from metered fuel consumption, supplier invoices, and site-level tracking systems. Where estimates are required, conservative assumptions are applied and documented internally. Methodologies and assumptions are applied consistently year-over-year, with any material changes disclosed as restatements in accordance with GRI 2-4.</t>
  </si>
  <si>
    <r>
      <t xml:space="preserve">Disclosure: </t>
    </r>
    <r>
      <rPr>
        <sz val="10"/>
        <color theme="0"/>
        <rFont val="Aptos Narrow"/>
        <family val="2"/>
        <scheme val="minor"/>
      </rPr>
      <t>GRI 305-2 (14.1.6)</t>
    </r>
  </si>
  <si>
    <t>Energy Indirect (Scope 2) GHG Emissions FY2025 (tCO2e)(1)</t>
  </si>
  <si>
    <t>2025 (Location-Based)</t>
  </si>
  <si>
    <t>2025 (Market-Based)</t>
  </si>
  <si>
    <r>
      <t>(1)</t>
    </r>
    <r>
      <rPr>
        <b/>
        <sz val="9"/>
        <rFont val="Aptos Narrow"/>
        <family val="2"/>
        <scheme val="minor"/>
      </rPr>
      <t xml:space="preserve"> </t>
    </r>
    <r>
      <rPr>
        <sz val="9"/>
        <rFont val="Aptos Narrow"/>
        <family val="2"/>
        <scheme val="minor"/>
      </rPr>
      <t>Energy indirect (Scope 2) greenhouse gas (GHG) emissions include emissions from the generation of purchased electricity consumed at operations under the Company’s operational control. Gases in the calculation include CO2, CH4, N2O, HFCs, PFCs, SF6, and NF3. Scope 2 emissions are calculated in accordance with the GHG Protocol Corporate Accounting and Reporting Standard and the GHG Protocol Scope 2 Guidance. Both location-based and, where data is available, market-based methodologies are applied and disclosed separately. Location-based emission factors are sourced from nationally recognized grid emission factors published by government authorities or reputable international databases (e.g., International Energy Agency). Where country-specific factors are unavailable, internationally recognized default factors are applied. Market-based emission factors are derived from renewable electricity instruments in the form of International Renewable Energy Certificates (I-RECs) issued under the International Tracking Standard Foundation and supplied by Comercializadora de Energía para América (CEPAM S.A. de C.V.). These certificates substantiate the renewable attribute of purchased electricity in accordance with the GHG Protocol Scope 2 Guidance. Global Warming Potential (GWP) values are based on the Intergovernmental Panel on Climate Change (IPCC) Fifth Assessment Report (AR5), unless local regulatory requirements prescribe otherwise. The Company consolidates emissions using the operational control approach, consistent with financial reporting boundaries. Electricity consumption data is based on utility invoices and metered data. Consistent methodologies are applied year-over-year, and any material changes or restatements are disclosed in accordance with GRI 2-4.</t>
    </r>
  </si>
  <si>
    <r>
      <t xml:space="preserve">Disclosure: </t>
    </r>
    <r>
      <rPr>
        <sz val="10"/>
        <color theme="0"/>
        <rFont val="Aptos Narrow"/>
        <family val="2"/>
        <scheme val="minor"/>
      </rPr>
      <t>GRI 305-4 (14.1.8)</t>
    </r>
  </si>
  <si>
    <t>GHG Emissions Intensity Ratio FY2025</t>
  </si>
  <si>
    <t>Intensity Ratio (tCO2e Scope 1 and Market-Based Scope 2 GHG Emissions / oz Au produced)(1)(2)</t>
  </si>
  <si>
    <t>(1) The denominator used to calculate emissions intensity is the total ounces of gold produced from all wholly-owned and operated mine sites as of December 31, 2025 (896,688 oz), as reported in the Company’s financial disclosures. 
(2) GHG emissions in the intensity ratio include direct (Scope 1) and indirect (Scope 2) emissions. Gases in the calculation include CO2, CH4, N2O, HFCs, PFCs, SF6, and NF3.</t>
  </si>
  <si>
    <r>
      <t xml:space="preserve">Disclosure: </t>
    </r>
    <r>
      <rPr>
        <sz val="10"/>
        <color theme="0"/>
        <rFont val="Aptos Narrow"/>
        <family val="2"/>
        <scheme val="minor"/>
      </rPr>
      <t>GRI 305-5 (14.1.9)</t>
    </r>
  </si>
  <si>
    <t>Reduction initiatives FY2025 (tCO2e)</t>
  </si>
  <si>
    <t>Scope 1</t>
  </si>
  <si>
    <t>Scope 2</t>
  </si>
  <si>
    <t>Greenstone haul truck switch</t>
  </si>
  <si>
    <t>Greenstone switch from SAG to high pressure grinding roller</t>
  </si>
  <si>
    <t>Bahia's Power Purchase Agreement (Offset)</t>
  </si>
  <si>
    <t>Nicaragua's purchase of International Renewable Energy Certificate (I-REC) Certificates (Offset)</t>
  </si>
  <si>
    <r>
      <t xml:space="preserve">Disclosure: </t>
    </r>
    <r>
      <rPr>
        <sz val="10"/>
        <color theme="0"/>
        <rFont val="Aptos Narrow"/>
        <family val="2"/>
        <scheme val="minor"/>
      </rPr>
      <t>GRI</t>
    </r>
    <r>
      <rPr>
        <b/>
        <sz val="10"/>
        <color theme="0"/>
        <rFont val="Aptos Narrow"/>
        <family val="2"/>
        <scheme val="minor"/>
      </rPr>
      <t xml:space="preserve"> </t>
    </r>
    <r>
      <rPr>
        <sz val="10"/>
        <color theme="0"/>
        <rFont val="Aptos Narrow"/>
        <family val="2"/>
        <scheme val="minor"/>
      </rPr>
      <t>305-7 (14.3.2)</t>
    </r>
  </si>
  <si>
    <t>Significant Air Emissions FY2025 (t/yr)</t>
  </si>
  <si>
    <t>Nitrogen Oxides (NOx)</t>
  </si>
  <si>
    <t>Sulfur Oxides (SOx)</t>
  </si>
  <si>
    <t>Particulate Matter (PM)</t>
  </si>
  <si>
    <t>(1) The Company reports nitrogen oxides (NOx), sulfur oxides (SOx) and particulate matter (PM) emissions generated from fuel combustion in stationary and mobile equipment at operating sites. These emissions arise primarily from diesel consumption in mining fleets, power generation units, and ancillary equipment. Emissions are calculated using a fuel-based estimation approach. Emission factors are derived from internationally recognized sources, including the Intergovernmental Panel on Climate Change (IPCC) Guidelines for National Greenhouse Gas Inventories and, where applicable, jurisdiction-specific regulatory guidance. Calculations are performed in accordance with recognized environmental reporting methodologies and internal data management procedures. Assumptions include the use of standard default emission factors where site-specific factors are not available. At this time, other categories of significant air emissions under GRI 305-7 are not considered material based on the nature of the Company’s operations and applicable regulatory thresholds.</t>
  </si>
  <si>
    <t>Economic data in this section includes results from legacy Equinox Gold operations, as well as from Valentine, El Limon and La Libertad from June 17, 2025, the effective date of the Calibre Mining combination.</t>
  </si>
  <si>
    <r>
      <t xml:space="preserve">Disclosures: </t>
    </r>
    <r>
      <rPr>
        <sz val="10"/>
        <color theme="0"/>
        <rFont val="Aptos Narrow"/>
        <family val="2"/>
        <scheme val="minor"/>
      </rPr>
      <t>GRI 3-3 (14.9.1, 14.23.1)</t>
    </r>
  </si>
  <si>
    <t>See our Management Approach to Sustainability &gt; Indigenous Peoples and Community Engagement</t>
  </si>
  <si>
    <r>
      <t xml:space="preserve">Disclosure: </t>
    </r>
    <r>
      <rPr>
        <sz val="11"/>
        <color theme="0"/>
        <rFont val="Aptos Narrow"/>
        <family val="2"/>
        <scheme val="minor"/>
      </rPr>
      <t>GRI 201-1 (14.9.2, 14.23.2)</t>
    </r>
  </si>
  <si>
    <t>Breakdown of Economic Value Generated and Distributed (EVG&amp;D) FY2025 (US$)(1)</t>
  </si>
  <si>
    <t>Economic Value Generated (A)</t>
  </si>
  <si>
    <t>Economic Value Distributed (B)</t>
  </si>
  <si>
    <t>Economic Value Retained = (A) - (B)</t>
  </si>
  <si>
    <t>Net Revenue (2)</t>
  </si>
  <si>
    <t>Adjusted Operating Cost (3)</t>
  </si>
  <si>
    <t>Salaries and Employee Benefits (4)</t>
  </si>
  <si>
    <t>Royalties (5)</t>
  </si>
  <si>
    <t>Community Investments (6)</t>
  </si>
  <si>
    <t>Capital Expenditures (7)</t>
  </si>
  <si>
    <t>Payments to Providers of Capital (8)</t>
  </si>
  <si>
    <t>Income Taxes Paid</t>
  </si>
  <si>
    <t>USA</t>
  </si>
  <si>
    <t>Corporate &amp; others (International Entities)</t>
  </si>
  <si>
    <t xml:space="preserve">(1) Presentation of EVG&amp;D is reported at the country level. Where multiple assets operate within a country, values are aggregated to reflect total national contribution. 
All metrics are aligned with MD&amp;A reporting and reflect the period during which assets were under Equinox Gold’s operational control. Pan Mine, which was acquired in June 2025 and divested in October 2025, is excluded from these figures. Reported revenues include sales of gold and silver from operating assets during the reporting period, including Brazil year-to-date sales, and therefore differ from revenues reported in the Consolidated Financial Statements, which exclude Brazil sales prior to completion of the Calibre Mining combination.
(2) Net Revenues. Revenues represent sales of gold and silver produced from the Company’s operating assets during the reporting period. These are aligned with reported sales in the MD&amp;A and reflect realized revenues from metal sales.
(3) Adjusted Operating Costs. Operating costs represent cash operating expenditures incurred at site level. This includes expenditures for raw materials and consumables, contractors, repairs and maintenance, site administration, and exploration and evaluation activities. Operating costs are aligned with MD&amp;A reporting.
(4) Salaries and Employee Benefits. Employee wages and benefits include total payroll costs for employees, including salaries, wages, and employer-paid contributions to government programs, as well as employee benefits. Benefits may include pensions, insurance, healthcare, and other employee support programs. Contractor costs are excluded and reflected within operating costs.
(5) Royalties. Royalties represent payments made to governments, private entities, or other rights holders based on production, revenue, or profit from mining operations. These are typically calculated as a percentage of gold or silver production or sales and reflect contractual or statutory obligations tied to mineral rights and land use.
(6) Community Investments. Community investments represent expenditures made during the reporting period to support external stakeholders and communities. This includes voluntary contributions, donations, and investments in community programs and infrastructure. This excludes expenditures that are directly related to core business operations or required for operational purposes.
(7) Capital Expenditures. Capital expenditures include both sustaining and non-sustaining capital investments. 
(8) Payments to Providers of Capital. Payments to providers of capital include interest paid on debt and lease payments (both sustaining and non-sustaining). This reflects the cost of financing and capital structure obligations during the reporting period. </t>
  </si>
  <si>
    <t>HUMAN RIGHTS</t>
  </si>
  <si>
    <r>
      <t xml:space="preserve">Disclosures: </t>
    </r>
    <r>
      <rPr>
        <sz val="10"/>
        <color theme="0"/>
        <rFont val="Aptos Narrow"/>
        <family val="2"/>
        <scheme val="minor"/>
      </rPr>
      <t>GRI 3-3 (14.14.1, 14.18.1, 14.19.1, 14.25.1, 14.25.3); SASB EM-MM-210a.3</t>
    </r>
  </si>
  <si>
    <t>See our Management Approach to Sustainability &gt; Human Rights</t>
  </si>
  <si>
    <t>Risk of Forced and Child Labour</t>
  </si>
  <si>
    <r>
      <t xml:space="preserve">Disclosures: </t>
    </r>
    <r>
      <rPr>
        <sz val="10"/>
        <color theme="0"/>
        <rFont val="Aptos Narrow"/>
        <family val="2"/>
        <scheme val="minor"/>
      </rPr>
      <t>GRI 408-1 (14.18.2), 409-1 (14.19.2)</t>
    </r>
  </si>
  <si>
    <t>Risk of Forced and Child Labour FY2025</t>
  </si>
  <si>
    <t>Child Labour</t>
  </si>
  <si>
    <t>Operations considered to have significant risk for incidents of child labour and/or young workers exposed to hazardous work (Yes/No)</t>
  </si>
  <si>
    <t>Suppliers considered to have significant risk for incidents of child labour and/or young workers exposed to hazardous work (Yes/No)</t>
  </si>
  <si>
    <t>Operation type, supplier type, and geographic area considered at risk</t>
  </si>
  <si>
    <t>ASM ore suppliers in Nicaragua</t>
  </si>
  <si>
    <t>Forced Labour</t>
  </si>
  <si>
    <t>Operations considered to have significant risk for incidents of forced or compulsory labour (Yes/No)</t>
  </si>
  <si>
    <t>Suppliers considered to have significant risk for incidents of forced or compulsory labour (Yes/No)</t>
  </si>
  <si>
    <t>Measures taken to contribute to the elimination of forced or compulsory labor</t>
  </si>
  <si>
    <t xml:space="preserve">Security Personnel Trained in Human Rights at operations located in or near in CAHRAs </t>
  </si>
  <si>
    <r>
      <t xml:space="preserve">Disclosure: </t>
    </r>
    <r>
      <rPr>
        <sz val="10"/>
        <color theme="0"/>
        <rFont val="Aptos Narrow"/>
        <family val="2"/>
        <scheme val="minor"/>
      </rPr>
      <t>GRI 410-1 (14.14.2)</t>
    </r>
  </si>
  <si>
    <t>Security Personnel Trained in Human Rights FY2025</t>
  </si>
  <si>
    <t>Security personnel on site (#)</t>
  </si>
  <si>
    <t>Security personnel trained during the reporting period (#)</t>
  </si>
  <si>
    <t>Proportion of security personnel trained (%)</t>
  </si>
  <si>
    <r>
      <t xml:space="preserve">Disclosure: </t>
    </r>
    <r>
      <rPr>
        <sz val="10"/>
        <color theme="0"/>
        <rFont val="Aptos Narrow"/>
        <family val="2"/>
        <scheme val="minor"/>
      </rPr>
      <t>GRI 14.25.2; SASB EM-MM-210a.2</t>
    </r>
  </si>
  <si>
    <t>ReservesIn or Near(1) Areas of Conflict(2) FY2025</t>
  </si>
  <si>
    <t>Los Filos (3)</t>
  </si>
  <si>
    <t>Percentage of Proven Reserves</t>
  </si>
  <si>
    <t>Percentage of Probable Reserves</t>
  </si>
  <si>
    <t>(1) Reserves are considered to be in or near an area of active conflict if they are  located in the same country as the active conflict. If the conflict is contained to a region, state, or designated area that is not proximate to the reserves, then the site has been excluded from the scope of disclosure.
(2) Conflict-affected or high-risk areas have been identified following the methodology outlined in the OECD Due Diligence Guidance for Responsible Supply Chains of Minerals from Conflict-Affected and High-Risk Areas.
Active conflict is defined according to the Uppsala Conflict Data Program (UCDP) definition as: A conflict, both state-based and non-state, is deemed to be active if there are at least 25 battle-related deaths per calendar year in one of the conflict’s dyads.
(3) According to UCDP's most recent data (https://ucdp.uu.se/year/2024), the State of Guerrero, Mexico—where Los Filos is located—continues to experience sustained levels of organized violence associated with non-state armed groups. This includes repeated lethal events and fatalities exceeding the UCDP threshold for classification as organized violence.</t>
  </si>
  <si>
    <t>INDIGENOUS PEOPLES AND COMMUNITY ENGAGEMENT</t>
  </si>
  <si>
    <r>
      <t xml:space="preserve">Disclosures: </t>
    </r>
    <r>
      <rPr>
        <sz val="10"/>
        <color theme="0"/>
        <rFont val="Aptos Narrow"/>
        <family val="2"/>
        <scheme val="minor"/>
      </rPr>
      <t>GRI 2-25, 2-29, 3-3 (14.8.1, 14.9.1, 14.10.1, 14.11.1, 14.12.1), 203-2, 411-1, 413-1, 413-2, 412-1; SASB EM-MM-210b.1</t>
    </r>
  </si>
  <si>
    <t>Community Engagement, Impact Assessments, and Development Programs by Mine Site</t>
  </si>
  <si>
    <r>
      <t xml:space="preserve">Disclosure: </t>
    </r>
    <r>
      <rPr>
        <sz val="10"/>
        <color theme="0"/>
        <rFont val="Aptos Narrow"/>
        <family val="2"/>
        <scheme val="minor"/>
      </rPr>
      <t>GRI 413-1 (14.10.2)</t>
    </r>
  </si>
  <si>
    <t>Community Engagement, Impact Assessments, and Development Programs by Mine Site FY2025</t>
  </si>
  <si>
    <t>% of EQX Operations</t>
  </si>
  <si>
    <t xml:space="preserve">Operations with implemented local community engagement, impact assessments, and/or development programs, including the use of: social impact assessments, including gender impact assessments, based on participatory processes (1) (Yes/No)
</t>
  </si>
  <si>
    <t>Operations with implemented environmental impact assessments and ongoing monitoring (Yes/No)</t>
  </si>
  <si>
    <t>Operations publicly disclose results of environmental and social impact assessments (Yes/No)</t>
  </si>
  <si>
    <t>Operations with local community investment initiatives (Yes/No)</t>
  </si>
  <si>
    <t>Formal community development agreements made (Yes/No)</t>
  </si>
  <si>
    <t>Yes.</t>
  </si>
  <si>
    <t>Number of agreements in place</t>
  </si>
  <si>
    <t>Operations with stakeholder engagement plans based on stakeholder mapping (Yes/No)</t>
  </si>
  <si>
    <t>Operations with broad based local community consultation committees and processes that include vulnerable groups (Yes/No)</t>
  </si>
  <si>
    <t>N/A due to the remote location of the site.</t>
  </si>
  <si>
    <t>Operations with works councils, occupational health and safety committees, and other worker representation bodies in place to deal with impacts (Yes/No)</t>
  </si>
  <si>
    <t>Operations with formal local community grievance processes in place (Yes/No)</t>
  </si>
  <si>
    <t>(1) Assessments conducted as part of the environmental and social impact assessments (ESIAs) for every new project or major change in ongoing projects as per national and/or federal legislation.</t>
  </si>
  <si>
    <r>
      <t xml:space="preserve">Disclosure: </t>
    </r>
    <r>
      <rPr>
        <sz val="10"/>
        <color theme="0"/>
        <rFont val="Aptos Narrow"/>
        <family val="2"/>
        <scheme val="minor"/>
      </rPr>
      <t xml:space="preserve">GRI 14.10.4 </t>
    </r>
  </si>
  <si>
    <t>Grievance Reports from Local Communities FY2025</t>
  </si>
  <si>
    <t>Total Reports Received (#)</t>
  </si>
  <si>
    <t>Social, Livelihoods &amp; Local Content</t>
  </si>
  <si>
    <t>Environmental</t>
  </si>
  <si>
    <t>Operations</t>
  </si>
  <si>
    <t>Conflicts &amp; Land Ownership</t>
  </si>
  <si>
    <t>Commitments, Agreements &amp; Regulatory</t>
  </si>
  <si>
    <t>Grievances Addressed and Resolved (%)</t>
  </si>
  <si>
    <t>Grievances Resolved through Remediation (1) (%)</t>
  </si>
  <si>
    <t>(1) Remediation is defined by GRI Mining Sector Standard as "means to counteract or make good a negative impact or provision of remedy. Examples include: apologies, financial or non-financial compensation, prevention of harm through injunctions or guarantees of non-repetition, punitive sanctions (whether criminal or administrative, such as fines), restitution, restoration, rehabilitation."</t>
  </si>
  <si>
    <r>
      <t xml:space="preserve">Disclosure: </t>
    </r>
    <r>
      <rPr>
        <sz val="10"/>
        <color theme="0"/>
        <rFont val="Aptos Narrow"/>
        <family val="2"/>
        <scheme val="minor"/>
      </rPr>
      <t>GRI 411-1 (14.11.2)</t>
    </r>
  </si>
  <si>
    <t>Incidents of Violations Involving Rights of Indigenous Peoples FY2025</t>
  </si>
  <si>
    <t>Los Filos(1)</t>
  </si>
  <si>
    <t>El Limon(1)</t>
  </si>
  <si>
    <t>La Libertad(1)</t>
  </si>
  <si>
    <t>Aurizona(1)</t>
  </si>
  <si>
    <r>
      <t>Bahia</t>
    </r>
    <r>
      <rPr>
        <b/>
        <sz val="10"/>
        <color rgb="FFFF0000"/>
        <rFont val="Aptos Narrow"/>
        <family val="2"/>
        <scheme val="minor"/>
      </rPr>
      <t xml:space="preserve"> </t>
    </r>
    <r>
      <rPr>
        <b/>
        <sz val="10"/>
        <color rgb="FFFFFFFF"/>
        <rFont val="Aptos Narrow"/>
        <family val="2"/>
        <scheme val="minor"/>
      </rPr>
      <t>(1)</t>
    </r>
  </si>
  <si>
    <t>RDM(1)</t>
  </si>
  <si>
    <t>Number of identified incidents (2)</t>
  </si>
  <si>
    <t>Incident reviewed by the Company (Yes/No)</t>
  </si>
  <si>
    <t>Remediation plan implemented (Yes/No)</t>
  </si>
  <si>
    <t>Remediation results reviewed through internal management processes (Yes/No)</t>
  </si>
  <si>
    <t>Incident resolved with no further action required (Yes/No)</t>
  </si>
  <si>
    <t>(1) Sites with no identified Indigenous Peoples within the operational area of influence.
(2) In the context of this disclosure, an 'incident' refers to a legal action or complaint registered with the Company or competent authorities through a formal process, or an instance of non-compliance identified by the Company through established procedures, such as monitoring programs or grievance mechanisms.</t>
  </si>
  <si>
    <t>Reserves in or Near Indigenous Peoples Territories</t>
  </si>
  <si>
    <r>
      <t xml:space="preserve">Disclosure: </t>
    </r>
    <r>
      <rPr>
        <sz val="10"/>
        <color theme="0"/>
        <rFont val="Aptos Narrow"/>
        <family val="2"/>
        <scheme val="minor"/>
      </rPr>
      <t>GRI 14.11.3; SASB EM-MM-210a.2</t>
    </r>
  </si>
  <si>
    <t>Reserves In or Near(1) Indigenous Peoples Land(2) FY2025</t>
  </si>
  <si>
    <t>(1) For the purposes of this disclosure, “near” is defined as within 5 kilometres of the recognized boundary of an area considered to be Indigenous land. 
(2) Indigenous lands are considered those occupied by people who self-identify as Indigenous, per Article 33 of the United Nations Declaration on the Rights of Indigenous Peoples and the International Labour Organisation Convention No. 169, and likely have one or more of the following characteristics based on the working definition of “Indigenous Peoples” adopted by the United Nations: Historical continuity with pre-colonial and/or pre-settler societies; strong link to territories and surrounding natural resources; distinct social, economic, or political systems; distinct language, culture, and beliefs; form non-dominant groups of society; and resolve to maintain and reproduce ancestral environments and systems as distinctive peoples and communities.</t>
  </si>
  <si>
    <r>
      <t xml:space="preserve">Disclosure: </t>
    </r>
    <r>
      <rPr>
        <sz val="10"/>
        <color theme="0"/>
        <rFont val="Aptos Narrow"/>
        <family val="2"/>
        <scheme val="minor"/>
      </rPr>
      <t>GRI 14.11.4</t>
    </r>
  </si>
  <si>
    <t>Free, Prior, and Informed Consent (FPIC) Processes FY2025</t>
  </si>
  <si>
    <t>Valentine(1)</t>
  </si>
  <si>
    <t>Site involved in a process of seeking free, prior, and informed consent (FPIC) from Indigenous Peoples (Yes/No)</t>
  </si>
  <si>
    <t>FPIC process mutually accepted by the Company and affected Indigenous Peoples (Yes/No)</t>
  </si>
  <si>
    <t>FPIC agreement reached (Yes/No)</t>
  </si>
  <si>
    <t>Agreement publicly available (Yes/No)</t>
  </si>
  <si>
    <t xml:space="preserve">No </t>
  </si>
  <si>
    <t>(1) Although no mineral reserves are located on or near Indigenous reserve lands, Qalipu Mi’kmaq First Nation and Miawpukek First Nation are considered interested parties due to asserted traditional territory and historical land use in the broader project area. Engagement, including FPIC-related processes, reflects regulatory consultation requirements and respect for Indigenous rights.</t>
  </si>
  <si>
    <r>
      <t xml:space="preserve">Disclosure: </t>
    </r>
    <r>
      <rPr>
        <sz val="10"/>
        <color theme="0"/>
        <rFont val="Aptos Narrow"/>
        <family val="2"/>
        <scheme val="minor"/>
      </rPr>
      <t>GRI 14.12.2</t>
    </r>
  </si>
  <si>
    <t>Involuntary Resettlement FY2025</t>
  </si>
  <si>
    <t>Site where involuntary resettlement is planned, ongoing, or has taken place</t>
  </si>
  <si>
    <t>Persons who have been or will be displaced (#)</t>
  </si>
  <si>
    <t>Male Adults (#)</t>
  </si>
  <si>
    <t>Female Adults (#)</t>
  </si>
  <si>
    <t>Children/Youth (#)</t>
  </si>
  <si>
    <r>
      <t xml:space="preserve">Disclosure: </t>
    </r>
    <r>
      <rPr>
        <sz val="10"/>
        <color theme="0"/>
        <rFont val="Aptos Narrow"/>
        <family val="2"/>
        <scheme val="minor"/>
      </rPr>
      <t>GRI 14.12.3</t>
    </r>
  </si>
  <si>
    <t>Conflicts or Violations of Land and Resource Rights(1) FY2025</t>
  </si>
  <si>
    <t>Site involved in conflicts or violations of land and resource rights (Yes/No)</t>
  </si>
  <si>
    <t>Location of conflict or alleged violation</t>
  </si>
  <si>
    <t>Description of incident(s) and affected or potentially affected rights holders</t>
  </si>
  <si>
    <r>
      <t xml:space="preserve">(1) For the </t>
    </r>
    <r>
      <rPr>
        <sz val="9"/>
        <rFont val="Aptos Narrow"/>
        <family val="2"/>
        <scheme val="minor"/>
      </rPr>
      <t>purpose</t>
    </r>
    <r>
      <rPr>
        <sz val="9"/>
        <color rgb="FF000000"/>
        <rFont val="Aptos Narrow"/>
        <family val="2"/>
        <scheme val="minor"/>
      </rPr>
      <t xml:space="preserve"> of this</t>
    </r>
    <r>
      <rPr>
        <sz val="9"/>
        <color rgb="FFFF0000"/>
        <rFont val="Aptos Narrow"/>
        <family val="2"/>
        <scheme val="minor"/>
      </rPr>
      <t xml:space="preserve"> </t>
    </r>
    <r>
      <rPr>
        <sz val="9"/>
        <color theme="1"/>
        <rFont val="Aptos Narrow"/>
        <family val="2"/>
        <scheme val="minor"/>
      </rPr>
      <t>disclosure</t>
    </r>
    <r>
      <rPr>
        <sz val="9"/>
        <color rgb="FF000000"/>
        <rFont val="Aptos Narrow"/>
        <family val="2"/>
        <scheme val="minor"/>
      </rPr>
      <t>, “conflicts or violations of land and resource rights” refer to disputes or infringements affecting communities or Indigenous Pe</t>
    </r>
    <r>
      <rPr>
        <sz val="9"/>
        <color theme="1"/>
        <rFont val="Aptos Narrow"/>
        <family val="2"/>
        <scheme val="minor"/>
      </rPr>
      <t xml:space="preserve">oples' </t>
    </r>
    <r>
      <rPr>
        <sz val="9"/>
        <color rgb="FF000000"/>
        <rFont val="Aptos Narrow"/>
        <family val="2"/>
        <scheme val="minor"/>
      </rPr>
      <t>rights to land and natural resources, including customary, collective, and informal tenure rights, such as failure to obtain FPIC, unresolved land claims, involuntary resettlement, restricted access, or related grievances, assessed in line with applicable laws and international standards.</t>
    </r>
  </si>
  <si>
    <r>
      <t xml:space="preserve">Disclosure: </t>
    </r>
    <r>
      <rPr>
        <sz val="10"/>
        <color theme="0"/>
        <rFont val="Aptos Narrow"/>
        <family val="2"/>
        <scheme val="minor"/>
      </rPr>
      <t>SASB</t>
    </r>
    <r>
      <rPr>
        <b/>
        <sz val="10"/>
        <color theme="0"/>
        <rFont val="Aptos Narrow"/>
        <family val="2"/>
        <scheme val="minor"/>
      </rPr>
      <t xml:space="preserve"> </t>
    </r>
    <r>
      <rPr>
        <sz val="10"/>
        <color theme="0"/>
        <rFont val="Aptos Narrow"/>
        <family val="2"/>
        <scheme val="minor"/>
      </rPr>
      <t>EM-MM-210b.2</t>
    </r>
  </si>
  <si>
    <t>Non-Technical Delays(1) FY2025</t>
  </si>
  <si>
    <t>Number of site shutdowns or project delays due to non-technical factors</t>
  </si>
  <si>
    <t xml:space="preserve">Aggregate duration (in days) </t>
  </si>
  <si>
    <t xml:space="preserve">(1) The scope includes shutdowns and project delays including, but not limited to, those resulting from pending regulatory permits or other political delays related to community concerns, community or stakeholder resistance or protest, and armed conflict. The scope of disclosure excludes delays due to strikes and lockouts that are disclosed according to EM-MM-310a.2.
</t>
  </si>
  <si>
    <t>OCCUPATIONAL HEALTH AND SAFETY</t>
  </si>
  <si>
    <t>Information in this section covers the full 2025 reporting period for all operations under Equinox Gold’s control at year-end. Pre-combination data is presented for reporting purposes only and does not imply that such operations were under the Company’s operational control or legal responsibility prior to the combination date. Variances between safety data presented in this report and figures disclosed in the Q4 2025 MD&amp;A primarily reflect refinements to contractor-reported hours worked, which increased total exposure hours and resulted in corresponding adjustments to frequency rates calculated per million hours worked.</t>
  </si>
  <si>
    <r>
      <t xml:space="preserve">Disclosures: </t>
    </r>
    <r>
      <rPr>
        <sz val="10"/>
        <color theme="0"/>
        <rFont val="Aptos Narrow"/>
        <family val="2"/>
        <scheme val="minor"/>
      </rPr>
      <t>GRI 2-23, 3-3 (14.16.1), 403-1 (14.16.2), 403-2 (14.16.3), 403-3 (14.16.4), 403-4 (14.16.5), 403-6 (14.16.7), 403-7 (14.16.8)</t>
    </r>
  </si>
  <si>
    <t>See our Management Approach to Sustainability &gt; Occupational Health and Safety</t>
  </si>
  <si>
    <r>
      <t xml:space="preserve">Disclosure: </t>
    </r>
    <r>
      <rPr>
        <sz val="10"/>
        <color theme="0"/>
        <rFont val="Aptos Narrow"/>
        <family val="2"/>
        <scheme val="minor"/>
      </rPr>
      <t>GRI 403-9 (14.16.10)</t>
    </r>
  </si>
  <si>
    <t>Work-Related Injuries FY2025</t>
  </si>
  <si>
    <t>Number of fatalities as a result of work-related injury (1)</t>
  </si>
  <si>
    <t>Rate of fatalities as a result of work-related injury (2)</t>
  </si>
  <si>
    <t>Number of recordable work-related injuries(3)</t>
  </si>
  <si>
    <t>Rate of recordable work-related injuries (2)</t>
  </si>
  <si>
    <t>Number of hours worked</t>
  </si>
  <si>
    <t>Contractor Workers</t>
  </si>
  <si>
    <t>Number of recordable(3) work-related injuries</t>
  </si>
  <si>
    <r>
      <t>(1) Work-related injury is defined as negative impacts on health arising from exposure to hazards at work.
(2) Rates have been calculated based on</t>
    </r>
    <r>
      <rPr>
        <sz val="9"/>
        <rFont val="Aptos Narrow"/>
        <family val="2"/>
        <scheme val="minor"/>
      </rPr>
      <t xml:space="preserve"> 1,000,000 hours worked.</t>
    </r>
    <r>
      <rPr>
        <sz val="9"/>
        <color theme="1"/>
        <rFont val="Aptos Narrow"/>
        <family val="2"/>
        <scheme val="minor"/>
      </rPr>
      <t xml:space="preserve">
(3)</t>
    </r>
    <r>
      <rPr>
        <sz val="9"/>
        <color rgb="FFFF0000"/>
        <rFont val="Aptos Narrow"/>
        <family val="2"/>
        <scheme val="minor"/>
      </rPr>
      <t xml:space="preserve"> </t>
    </r>
    <r>
      <rPr>
        <sz val="9"/>
        <color theme="1"/>
        <rFont val="Aptos Narrow"/>
        <family val="2"/>
        <scheme val="minor"/>
      </rPr>
      <t>Recordable work-related injuries refer to work-related injury or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r>
  </si>
  <si>
    <t>Workforce Injuries (Employees + Contractors) FY2025</t>
  </si>
  <si>
    <t>Fatality (1)</t>
  </si>
  <si>
    <t>First Aid Incident (FAI)(2)</t>
  </si>
  <si>
    <t>Medical Treatment Incident (MTI)(3)</t>
  </si>
  <si>
    <t>Restricted Duty Incident (RDI)(4)</t>
  </si>
  <si>
    <t>Lost Time Incident (LTI)(5)</t>
  </si>
  <si>
    <t>Total Recordable Incident (TRI)(6)</t>
  </si>
  <si>
    <t>All Incidents</t>
  </si>
  <si>
    <t>Hours Worked</t>
  </si>
  <si>
    <t>All Injury Frequency Rate (AIFR) (7)</t>
  </si>
  <si>
    <t>Total Recordable Injury Frequency Rate (TRIFR) (7)</t>
  </si>
  <si>
    <t>Lost Time Injury Frequency Rate (LTIFR) (7)</t>
  </si>
  <si>
    <r>
      <t xml:space="preserve">(1) Fatality. A fatality is defined as the death of a worker (employee or contractor) resulting from a work-related injury or occupational illness, regardless of the time between the incident and the death. This is a recordable case.
(2) First Aid Incident (FAI). An injury treated at the worksite which is recorded by the employee or the First Aider. The following treatments, regardless of the professional status of the person providing the treatment are considered. FAIs are not considered recordable incidents and are excluded from rate calculations. 
(3) Medical Treatment Incident (MTI). Work-related illness or injury that is beyond first aid, provided by a licensed healthcare professional, which does not result in time lost from work or restricted duties. This is a recordable case.
(4) Restricted Duty Incident (RDI). A work-related medically treated injury or illness that prevents the employee from performing one or more routine functions of their regular job or working a full workday, but the person is still at work in some modified capacity. This is a recordable case.
(5) Lost Time Incident (LTI). A work-related injury or illness that results in the employee being unable to work for at least one full day/shift after the day of incident. This is a recordable case.
(6) Total Recordable Incident (TRI). Total number of work-related injuries and illnesses that require medical treatment beyond first aid, result in lost workdays, or cause fatalities. 
(7) All rates are expressed per 1,000,000 hours worked. Jurisdictions include both operations, exploration, development and sites under care and </t>
    </r>
    <r>
      <rPr>
        <sz val="9"/>
        <rFont val="Aptos Narrow (Body)"/>
      </rPr>
      <t>maintenance</t>
    </r>
    <r>
      <rPr>
        <sz val="9"/>
        <color theme="1"/>
        <rFont val="Aptos Narrow"/>
        <family val="2"/>
        <scheme val="minor"/>
      </rPr>
      <t xml:space="preserve">, as well as regional and headquarters offices. </t>
    </r>
    <r>
      <rPr>
        <sz val="9"/>
        <rFont val="Aptos Narrow"/>
        <family val="2"/>
        <scheme val="minor"/>
      </rPr>
      <t xml:space="preserve">This disclosure includes all employees and workers who are not employees but whose work and/or workplace is controlled by the organization. </t>
    </r>
  </si>
  <si>
    <r>
      <t xml:space="preserve">Disclosure: </t>
    </r>
    <r>
      <rPr>
        <sz val="10"/>
        <color theme="0"/>
        <rFont val="Aptos Narrow"/>
        <family val="2"/>
        <scheme val="minor"/>
      </rPr>
      <t>GRI 403-10 (14.16.11)</t>
    </r>
  </si>
  <si>
    <t>Work-Related Ill Health(1) FY2025</t>
  </si>
  <si>
    <t>Number of fatalities as a result of work-related ill health</t>
  </si>
  <si>
    <t>Number of cases of recordable work-related ill health</t>
  </si>
  <si>
    <t>(1) A recordable work-related ill health is a work-related ill health that results in any of the following: death, days away from work, restricted work or transfer to another job, medical treatment beyond first aid, or loss of consciousness; or significant injury or ill health diagnosed by a physician or other licensed healthcare professional, even if it does not result in death, days away from work, restricted work or job transfer, medical treatment beyond first aid, or loss of consciousness.</t>
  </si>
  <si>
    <t>All-Incidence Rate</t>
  </si>
  <si>
    <r>
      <t>Disclosure:</t>
    </r>
    <r>
      <rPr>
        <sz val="10"/>
        <color theme="0"/>
        <rFont val="Aptos Narrow"/>
        <family val="2"/>
        <scheme val="minor"/>
      </rPr>
      <t xml:space="preserve"> SASB EM-MM-320a.1</t>
    </r>
  </si>
  <si>
    <t>All-Incidence Rate (AIR) (1)(2)</t>
  </si>
  <si>
    <t>Fatality Rate</t>
  </si>
  <si>
    <t>(1) Incidents include fatalities or work-related injuries resulting in death to employees on active mine property; non-fatal days lost cases, or occupational injuries that result in loss of one or more days from the entity’s scheduled work or days of limited or restricted activity while at work; and no days lost cases, or occurrences requiring only medical treatment (beyond first aid); meaning, non-fatal injury occurrences resulting only in loss of consciousness or medical treatment other than first aid.
(2) Rates are calculated as: (statistic count × 1,000,000) / total hours worked.</t>
  </si>
  <si>
    <t>PEOPLE AND ORGANIZATIONAL CULTURE</t>
  </si>
  <si>
    <r>
      <t xml:space="preserve">Disclosures: </t>
    </r>
    <r>
      <rPr>
        <sz val="11"/>
        <color theme="0"/>
        <rFont val="Aptos Narrow"/>
        <family val="2"/>
        <scheme val="minor"/>
      </rPr>
      <t>GRI 2-23, 3-3 (14.17.1, 14.20.1, 14.21.1)</t>
    </r>
  </si>
  <si>
    <t>See our Management Approach to Sustainability &gt; People and Organizational Culture</t>
  </si>
  <si>
    <r>
      <rPr>
        <b/>
        <sz val="11"/>
        <color theme="0"/>
        <rFont val="Aptos Narrow"/>
        <family val="2"/>
        <scheme val="minor"/>
      </rPr>
      <t>Disclosure:</t>
    </r>
    <r>
      <rPr>
        <sz val="11"/>
        <color theme="0"/>
        <rFont val="Aptos Narrow"/>
        <family val="2"/>
        <scheme val="minor"/>
      </rPr>
      <t xml:space="preserve"> GRI 2-7</t>
    </r>
  </si>
  <si>
    <t>By Gender</t>
  </si>
  <si>
    <t>By Region</t>
  </si>
  <si>
    <t>Employees by Type of Contract (Head Count) FY2025</t>
  </si>
  <si>
    <t>Male</t>
  </si>
  <si>
    <t>Female</t>
  </si>
  <si>
    <t>Undeclared</t>
  </si>
  <si>
    <t>Permanent (1)</t>
  </si>
  <si>
    <t>Temporary (2)</t>
  </si>
  <si>
    <t>Non-Guaranteed Hours (3)</t>
  </si>
  <si>
    <t>Full-Time (4)</t>
  </si>
  <si>
    <t>Part-Time (4)</t>
  </si>
  <si>
    <t>(1) Permanent employees refer to employees with a contract for an indeterminate period (i.e., indefinite contract) for full-time or part-time work.
(2) Temporary employees refer to employees with a contract for a limited period (i.e., fixed-term contract) that ends when the specific time period expires, or when the specific task or event that has an attached time estimate is completed (e.g., the end of a project or return of replaced employees). Does not include interns, apprentices, or volunteers.
(3) Non-guaranteed hours employees refer to employees who are not guaranteed a minimum or fixed number of working hours per day, week, or month, but who may need to make themselves available for work as required.
(4) Part-time employees refer to employees whose working hours per week, month, or year are less than the number of working hours for full-time employees.</t>
  </si>
  <si>
    <r>
      <t xml:space="preserve">Disclosure: </t>
    </r>
    <r>
      <rPr>
        <sz val="11"/>
        <color theme="0"/>
        <rFont val="Aptos Narrow"/>
        <family val="2"/>
        <scheme val="minor"/>
      </rPr>
      <t>GRI 14.9.6</t>
    </r>
  </si>
  <si>
    <t>Employees by Origin, by Site FY2025 (%)</t>
  </si>
  <si>
    <t>Local(1)</t>
  </si>
  <si>
    <t>In-Country (National)(2)</t>
  </si>
  <si>
    <t>Foreign</t>
  </si>
  <si>
    <t>(1) Refers to individuals originating from, residing in, or registered within municipalities or communities located in the direct area of influence of a mining operation.
(2) Refers to individuals based within the country where the operation is located but outside the direct area of influence.</t>
  </si>
  <si>
    <t>Employees Hired from the Local Community at the Mine-Site Level, Broken Down by Gender FY2025 (%)</t>
  </si>
  <si>
    <t>Men</t>
  </si>
  <si>
    <t>Women</t>
  </si>
  <si>
    <r>
      <rPr>
        <b/>
        <sz val="11"/>
        <color theme="0"/>
        <rFont val="Aptos Narrow"/>
        <family val="2"/>
        <scheme val="minor"/>
      </rPr>
      <t>Disclosure</t>
    </r>
    <r>
      <rPr>
        <sz val="11"/>
        <color theme="0"/>
        <rFont val="Aptos Narrow"/>
        <family val="2"/>
        <scheme val="minor"/>
      </rPr>
      <t>: GRI 405-1 (14.21.5)</t>
    </r>
  </si>
  <si>
    <t>By Age Group</t>
  </si>
  <si>
    <t>Employee Category, by Gender, by Age Group FY2025 (%)</t>
  </si>
  <si>
    <t>&lt; 30 y/o</t>
  </si>
  <si>
    <t>30-50 y/o</t>
  </si>
  <si>
    <t>&gt;50 y/o</t>
  </si>
  <si>
    <t>Executive (1)</t>
  </si>
  <si>
    <t>Senior Management (2)</t>
  </si>
  <si>
    <t>Middle Management (3)</t>
  </si>
  <si>
    <t>Management (4)</t>
  </si>
  <si>
    <t>Supervisor (5)</t>
  </si>
  <si>
    <t>Administrative/Technical/Professional (6)</t>
  </si>
  <si>
    <t>Operator (7)</t>
  </si>
  <si>
    <t>(1) Refers to top executive leadership with enterprise, regional, or major functional accountability. Includes vice presidents, senior vice presidents, executive vice presidents, chief officers, and country or regional vice presidents.
(2) Refers to senior site or enterprise leadership with broad strategic and cross-functional responsibility. Includes directors, general managers, senior directors, country leadership, and corporate functional heads.
(3) Refers to intermediate leadership between departmental management and senior site or enterprise leadership. Includes senior department heads, site operational leaders, technical leaders, and regional functional leaders.
(4) Refers to department or function leadership with accountability for operational performance, budgets, and execution. Includes managers, superintendents, department heads, and senior operational leaders.
(5) Refers to first-line leadership roles responsible for crews, shifts, functional teams, or day-to-day operational oversight. Includes shift supervisors, maintenance supervisors, mine supervisors, environmental supervisors, warehouse supervisors, health and safety supervisors, lab supervisors, and community relations supervisors.
(6) Refers to professional, technical, analytical, administrative, and business-support individual contributor roles. Includes engineers, analysts, accountants, human resources professionals, IT professionals, buyers/procurement specialists, geologists, planners, coordinators, administrative assistants, and technical specialists.
(7) Refers to frontline operations, trades, maintenance, and site-service roles directly supporting production and daily site execution. Includes equipment operators, haul truck drivers, drill/blast operators, mill operators, mechanics, electricians, welders, labourers, plant operators, operations technicians, camp/site service workers, and apprentices.</t>
  </si>
  <si>
    <r>
      <rPr>
        <b/>
        <sz val="11"/>
        <color theme="0"/>
        <rFont val="Aptos Narrow"/>
        <family val="2"/>
        <scheme val="minor"/>
      </rPr>
      <t>Disclosure</t>
    </r>
    <r>
      <rPr>
        <sz val="11"/>
        <color theme="0"/>
        <rFont val="Aptos Narrow"/>
        <family val="2"/>
        <scheme val="minor"/>
      </rPr>
      <t>: GRI 401-1 (14.17.3)</t>
    </r>
  </si>
  <si>
    <t>Employee Hires FY2025</t>
  </si>
  <si>
    <t>Total Number of New Employee Hires</t>
  </si>
  <si>
    <t>Rate of New Employee Hires (1)</t>
  </si>
  <si>
    <t>&lt;30</t>
  </si>
  <si>
    <t>30-50</t>
  </si>
  <si>
    <t>&gt;50</t>
  </si>
  <si>
    <t>Unknown</t>
  </si>
  <si>
    <t>Undisclosed</t>
  </si>
  <si>
    <t>(1) New hires rates are based on weighted headcount by region on the last day of each month.</t>
  </si>
  <si>
    <t>Employee Turnover FY2025</t>
  </si>
  <si>
    <t>Total Number of Turnovers</t>
  </si>
  <si>
    <t xml:space="preserve">Turnover Rate </t>
  </si>
  <si>
    <t>By Category</t>
  </si>
  <si>
    <t>Voluntary</t>
  </si>
  <si>
    <t>Involuntary</t>
  </si>
  <si>
    <r>
      <rPr>
        <b/>
        <sz val="11"/>
        <color theme="0"/>
        <rFont val="Aptos Narrow"/>
        <family val="2"/>
        <scheme val="minor"/>
      </rPr>
      <t xml:space="preserve">Disclosure: </t>
    </r>
    <r>
      <rPr>
        <sz val="11"/>
        <color theme="0"/>
        <rFont val="Aptos Narrow"/>
        <family val="2"/>
        <scheme val="minor"/>
      </rPr>
      <t>GRI 401-3 (14.17.5, 14.21.3)</t>
    </r>
  </si>
  <si>
    <t>Parental Leave FY2025</t>
  </si>
  <si>
    <t>Employees that were entitled to parental leave</t>
  </si>
  <si>
    <t>Employees that took parental leave</t>
  </si>
  <si>
    <t>Employees that returned to work in the reporting period after parental leave ended</t>
  </si>
  <si>
    <t>Return-to-work rate</t>
  </si>
  <si>
    <t>Ratio of Basic Salary and Remuneration of Women to Men by Mine Site</t>
  </si>
  <si>
    <r>
      <rPr>
        <b/>
        <sz val="11"/>
        <color theme="0"/>
        <rFont val="Aptos Narrow"/>
        <family val="2"/>
        <scheme val="minor"/>
      </rPr>
      <t xml:space="preserve">Disclosure: </t>
    </r>
    <r>
      <rPr>
        <sz val="11"/>
        <color theme="0"/>
        <rFont val="Aptos Narrow"/>
        <family val="2"/>
        <scheme val="minor"/>
      </rPr>
      <t>GRI 405-2 (14.21.6)</t>
    </r>
  </si>
  <si>
    <t>Ratio (1) of Basic Salary and Remuneration of Women to Men by Mine Site FY2025</t>
  </si>
  <si>
    <t>Ratio (1)</t>
  </si>
  <si>
    <t>(1) Ratio equals average salary for women / average salary for men * 100.</t>
  </si>
  <si>
    <r>
      <rPr>
        <b/>
        <sz val="11"/>
        <color theme="0"/>
        <rFont val="Aptos Narrow"/>
        <family val="2"/>
        <scheme val="minor"/>
      </rPr>
      <t>Disclosures</t>
    </r>
    <r>
      <rPr>
        <sz val="11"/>
        <color theme="0"/>
        <rFont val="Aptos Narrow"/>
        <family val="2"/>
        <scheme val="minor"/>
      </rPr>
      <t>: GRI 2-30; SASB EM-MM-310a.1</t>
    </r>
  </si>
  <si>
    <t>Employees Covered by Collective Bargaining Agreements FY2025 (%)</t>
  </si>
  <si>
    <t>Percentage of employees covered under collective bargaining agreements (CBAs)</t>
  </si>
  <si>
    <t>Operations in which the right to freedom of association and collective bargaining may be at risk (Yes/No)</t>
  </si>
  <si>
    <r>
      <rPr>
        <b/>
        <sz val="11"/>
        <color theme="0"/>
        <rFont val="Aptos Narrow"/>
        <family val="2"/>
        <scheme val="minor"/>
      </rPr>
      <t xml:space="preserve">Disclosures: </t>
    </r>
    <r>
      <rPr>
        <sz val="11"/>
        <color theme="0"/>
        <rFont val="Aptos Narrow"/>
        <family val="2"/>
        <scheme val="minor"/>
      </rPr>
      <t>GRI 2-8; SASB EM-MM-000.B</t>
    </r>
  </si>
  <si>
    <t>Workforce FY2025</t>
  </si>
  <si>
    <t>Direct (Employees)</t>
  </si>
  <si>
    <t>Indirect (Contractors)</t>
  </si>
  <si>
    <r>
      <rPr>
        <b/>
        <sz val="11"/>
        <color theme="0"/>
        <rFont val="Aptos Narrow"/>
        <family val="2"/>
        <scheme val="minor"/>
      </rPr>
      <t xml:space="preserve">Disclosures: </t>
    </r>
    <r>
      <rPr>
        <sz val="11"/>
        <color theme="0"/>
        <rFont val="Aptos Narrow"/>
        <family val="2"/>
        <scheme val="minor"/>
      </rPr>
      <t>GRI 14.20.3; SASB EM-MM-310a.2</t>
    </r>
  </si>
  <si>
    <t>Strikes and Lockouts FY2025</t>
  </si>
  <si>
    <t>Number of work stoppages involving 1,000 or more workers lasting one full shift or longer (1)</t>
  </si>
  <si>
    <t>Total duration, in worker days idle (2)</t>
  </si>
  <si>
    <t>Reason for work stoppage (as stated by labour), impacts on production, and corrective actions taken</t>
  </si>
  <si>
    <t>(1) Includes strikes and lockouts resulting from disputes between labour and management. Excludes work stoppages due to other non-technical reasons disclosed under SASB EM-MM-210b.2.
(2) Worker days idle are calculated by multiplying the number of idle days by the number of workers involved.</t>
  </si>
  <si>
    <r>
      <rPr>
        <b/>
        <sz val="11"/>
        <color theme="0"/>
        <rFont val="Aptos Narrow"/>
        <family val="2"/>
        <scheme val="minor"/>
      </rPr>
      <t xml:space="preserve">Disclosure: </t>
    </r>
    <r>
      <rPr>
        <sz val="11"/>
        <color theme="0"/>
        <rFont val="Aptos Narrow"/>
        <family val="2"/>
        <scheme val="minor"/>
      </rPr>
      <t>GRI 406-1 (14.21.7)</t>
    </r>
  </si>
  <si>
    <t>Incidents of Discrimination FY2025</t>
  </si>
  <si>
    <t>Confirmed incidents of discrimination (1)</t>
  </si>
  <si>
    <t>Incidents reviewed and investigated</t>
  </si>
  <si>
    <t>Remediation plans implemented, with results reviewed through routine internal management review processes</t>
  </si>
  <si>
    <t>Incidents resolved/closed</t>
  </si>
  <si>
    <t xml:space="preserve">(1) We define incidents of discrimination as complaints registered through the Company's established procedures (excluding the Whistleblower Service) on grounds of race, colour, sex, religion, political opinion, national extraction, or social origin as defined by the ILO, or other relevant forms of discrimination involving internal stakeholders across operations in the reporting period. </t>
  </si>
  <si>
    <t>RESPONSIBLE SOURCING AND SUPPLY CHAIN MANAGEMENT</t>
  </si>
  <si>
    <t>Economic data in this section includes results from legacy Equinox Gold operations, as well as results from Valentine, El Limon and La Libertad from June 17, 2025, the effective date of the Calibre Mining combination.</t>
  </si>
  <si>
    <r>
      <t xml:space="preserve">Disclosures: </t>
    </r>
    <r>
      <rPr>
        <sz val="10"/>
        <color theme="0"/>
        <rFont val="Aptos Narrow"/>
        <family val="2"/>
        <scheme val="minor"/>
      </rPr>
      <t>GRI 2-23, 3-3 (14.13.1, 14.18.1, 14.19.1)</t>
    </r>
  </si>
  <si>
    <t>See our Management Approach to Sustainability &gt; Responsible Sourcing and Supply Chain Management</t>
  </si>
  <si>
    <r>
      <t xml:space="preserve">Disclosure: </t>
    </r>
    <r>
      <rPr>
        <sz val="10"/>
        <color theme="0"/>
        <rFont val="Aptos Narrow"/>
        <family val="2"/>
        <scheme val="minor"/>
      </rPr>
      <t>GRI 204-1 (14.9.5)</t>
    </r>
  </si>
  <si>
    <t>Supply Chain and Procurement Metrics FY2025(1)</t>
  </si>
  <si>
    <t>Local(2)</t>
  </si>
  <si>
    <t>Regional/ In-State / In-Province</t>
  </si>
  <si>
    <t>In-country (National)</t>
  </si>
  <si>
    <t>Foreign/ International</t>
  </si>
  <si>
    <t>(1) Data presented in this table is aligned with MD&amp;A reporting and reflects the period during which assets were under Equinox Gold’s operational control.
(2) See Overview &gt; Geographic Classification, Definition of 'Local' for site level detail.</t>
  </si>
  <si>
    <t>Supply Chain and Procurement Metrics FY2025</t>
  </si>
  <si>
    <t>Total procurement spend (US$ Million)</t>
  </si>
  <si>
    <t>Procurement spend to in-country suppliers (%)</t>
  </si>
  <si>
    <r>
      <t>Disclosures:</t>
    </r>
    <r>
      <rPr>
        <sz val="10"/>
        <color theme="0"/>
        <rFont val="Aptos Narrow"/>
        <family val="2"/>
        <scheme val="minor"/>
      </rPr>
      <t xml:space="preserve"> GRI 14.13.2, 14.13.3, 14.23.8</t>
    </r>
  </si>
  <si>
    <t>ASM Interaction</t>
  </si>
  <si>
    <t>Valetine</t>
  </si>
  <si>
    <t>ASM Demographics</t>
  </si>
  <si>
    <t>Presence of ASM at or near site</t>
  </si>
  <si>
    <t>ASM-related incidents and mitigation measures</t>
  </si>
  <si>
    <t>Water Pollution Avoided due to ASM Mineral Purchase Program (1)</t>
  </si>
  <si>
    <t>Ore purchased (t)</t>
  </si>
  <si>
    <t>Hg (t) avoided</t>
  </si>
  <si>
    <t>Water m3 safely treated and discharged to the environment</t>
  </si>
  <si>
    <t>Minerals purchased from the state or state-appointed third parties</t>
  </si>
  <si>
    <t>Volume of minerals purchased (t)</t>
  </si>
  <si>
    <t>Types of minerals purchased</t>
  </si>
  <si>
    <t>Name of selling entity and payment recipient</t>
  </si>
  <si>
    <t>Payments made for mineral purchases</t>
  </si>
  <si>
    <t>(1) A 2016 study from the Artisanal Gold Council on the Use and Release of Mercury by ASM in Nicaragua estimated that approximately 3.5oz of mercury are used per metric ton of ore processed in artisanal mills, and that a minimum average throughput of ~1 L/minute, or ~3600 L of water per day (4.32m3/metric ton) are used by artisanal mills in Chontales, the district where La Libertad Mine is located.</t>
  </si>
  <si>
    <t>WASTE, HAZARDOUS MATERIALS, AND INCIDENT MANAGEMENT</t>
  </si>
  <si>
    <t xml:space="preserve">Information in this section covers the full 2025 reporting period for all operations under Equinox Gold’s control at year-end. Pre-combination data is presented for reporting purposes only and does not imply that these operations were under the Company’s operational control or legal responsibility prior to the combination date. </t>
  </si>
  <si>
    <r>
      <t xml:space="preserve">Disclosures: </t>
    </r>
    <r>
      <rPr>
        <sz val="10"/>
        <color theme="0"/>
        <rFont val="Aptos Narrow"/>
        <family val="2"/>
        <scheme val="minor"/>
      </rPr>
      <t>GRI 2-23, 3-3 (14.5.1, 14.6.1, 14.6.2, 14.6.3, 14.15.1); 306-1 (14.5.2); 306-2 (14.5.3); SASB EM-MM-150a.10; EM-MM-540a.1; EM-MM-540a.2, EM-MM-540a.3</t>
    </r>
  </si>
  <si>
    <t>See our Management Approach to Sustainability &gt; Waste, Hazardous Materials, and Incident Management</t>
  </si>
  <si>
    <r>
      <t xml:space="preserve">Disclosures: </t>
    </r>
    <r>
      <rPr>
        <sz val="10"/>
        <color theme="0"/>
        <rFont val="Aptos Narrow"/>
        <family val="2"/>
        <scheme val="minor"/>
      </rPr>
      <t>GRI 306-3 (14.5.4); SASB EM-MM-150a.4; EM-MM-150a.5; EM-MM-150a.6; EM-MM-150a.7</t>
    </r>
  </si>
  <si>
    <t>Total Waste Generated FY2025 (t)</t>
  </si>
  <si>
    <t>Non-Mineral</t>
  </si>
  <si>
    <t>Mineral</t>
  </si>
  <si>
    <t>Non-Mineral Waste Generated FY2025 (t)</t>
  </si>
  <si>
    <t>Hazardous</t>
  </si>
  <si>
    <t>Non-Hazardous</t>
  </si>
  <si>
    <t>Mineral Waste Generated FY2025 (t)</t>
  </si>
  <si>
    <t>Waste Rock(1)</t>
  </si>
  <si>
    <t>Tailings</t>
  </si>
  <si>
    <t>(1) Of total waste rock generated, 835,539 t (0.5%), primarily at Greenstone and Valentine, was classified as potentially acid-generating material and is managed under site-specific geochemical characterization and waste rock management controls.</t>
  </si>
  <si>
    <r>
      <t xml:space="preserve">Disclosures: </t>
    </r>
    <r>
      <rPr>
        <sz val="10"/>
        <color theme="0"/>
        <rFont val="Aptos Narrow"/>
        <family val="2"/>
        <scheme val="minor"/>
      </rPr>
      <t>GRI 306-4 (14.5.5); SASB EM-MM-150.8</t>
    </r>
  </si>
  <si>
    <t>Non-Mineral Waste Diverted from Disposal FY2025 (t)</t>
  </si>
  <si>
    <t>Greenstone(1)</t>
  </si>
  <si>
    <t>Total Non-Mineral Waste Diverted from Disposal</t>
  </si>
  <si>
    <t>Preparation for reuse</t>
  </si>
  <si>
    <t>Onsite</t>
  </si>
  <si>
    <t>Offsite</t>
  </si>
  <si>
    <t>Other recovery methods</t>
  </si>
  <si>
    <t>(1) Greenstone did not report non-mineral hazardous waste diverted from disposal in FY2025, as tracking processes are currently being developed to support enhanced data completeness and continuous improvement in waste management practices.</t>
  </si>
  <si>
    <r>
      <t xml:space="preserve">Disclosure: </t>
    </r>
    <r>
      <rPr>
        <sz val="10"/>
        <color theme="0"/>
        <rFont val="Aptos Narrow"/>
        <family val="2"/>
        <scheme val="minor"/>
      </rPr>
      <t>GRI 306-5 (14.5.6)</t>
    </r>
  </si>
  <si>
    <t>Non-Mineral Waste Directed to Disposal FY2025 (t)</t>
  </si>
  <si>
    <t>Total Non-Mineral Waste Directed to Disposal</t>
  </si>
  <si>
    <t>Incineration (with energy recovery)</t>
  </si>
  <si>
    <t>Incineration (without energy recovery)</t>
  </si>
  <si>
    <t>Other disposal methods</t>
  </si>
  <si>
    <t xml:space="preserve"> -   </t>
  </si>
  <si>
    <t>Significant Incidents Associated with Hazardous Materials and Waste Management</t>
  </si>
  <si>
    <r>
      <t xml:space="preserve">Disclosures: </t>
    </r>
    <r>
      <rPr>
        <sz val="10"/>
        <color theme="0"/>
        <rFont val="Aptos Narrow"/>
        <family val="2"/>
        <scheme val="minor"/>
      </rPr>
      <t>GRI 306-3_2016 (14.15.2); SASB EM-MM-150a.9</t>
    </r>
  </si>
  <si>
    <t>Number of Significant Incidents (1)</t>
  </si>
  <si>
    <t>Number of Significant Spills (2)</t>
  </si>
  <si>
    <t>(1) Consistent with SASB Metals &amp; Mining Standard, the scope of disclosure includes incidents of seepage from tailings facilities that contain a meaningful concentration of hazardous raw materials, or significant spills or releases that occurred during handling, storage, transportation, use, and/or disposal of raw hazardous materials that had impacts on the environment, employees, and/or surrounding communities. A significant incident is defined as an incident that exceeds volume or concentration limits of local regulatory requirements, industry-accepted codes; is included in the entity’s financial statements (e.g., due to resulting liabilities) or recorded by the entity as an incident required to be reported by local jurisdictions; or is an event that is considered significant in the judgement of the operator, even though it did not meet the criteria above.
(2) Aligned with GRI Disclosure 306-3 (2016), a significant spill refers to a spill that is included in the Company’s financial statements, for example, due to resulting liabilities, or is recorded as a spill by the Company, that was reported to or required to be reported to regulatory authorities.</t>
  </si>
  <si>
    <r>
      <t xml:space="preserve">Disclosures: </t>
    </r>
    <r>
      <rPr>
        <sz val="10"/>
        <color theme="0"/>
        <rFont val="Aptos Narrow"/>
        <family val="2"/>
        <scheme val="minor"/>
      </rPr>
      <t>GRI 14.15.3</t>
    </r>
    <r>
      <rPr>
        <b/>
        <sz val="10"/>
        <color theme="0"/>
        <rFont val="Aptos Narrow"/>
        <family val="2"/>
        <scheme val="minor"/>
      </rPr>
      <t xml:space="preserve">, </t>
    </r>
    <r>
      <rPr>
        <sz val="10"/>
        <color theme="0"/>
        <rFont val="Aptos Narrow"/>
        <family val="2"/>
        <scheme val="minor"/>
      </rPr>
      <t>14.15.4</t>
    </r>
  </si>
  <si>
    <t>Critical Environmental Incidents(1) by Consequence Ranking FY2023-2025</t>
  </si>
  <si>
    <t>Major</t>
  </si>
  <si>
    <t>Catastrophic</t>
  </si>
  <si>
    <r>
      <t xml:space="preserve">Disclosures: </t>
    </r>
    <r>
      <rPr>
        <sz val="10"/>
        <color theme="0"/>
        <rFont val="Aptos Narrow"/>
        <family val="2"/>
        <scheme val="minor"/>
      </rPr>
      <t>GRI 2-23, 3-3 (14.7.1); 303-1 (14.7.2); 303-2 (14.7.3)</t>
    </r>
  </si>
  <si>
    <t>See our Management Approach to Sustainability &gt; Water Stewardship</t>
  </si>
  <si>
    <t>Water Withdrawal by Mine Site</t>
  </si>
  <si>
    <r>
      <t xml:space="preserve">Disclosures: </t>
    </r>
    <r>
      <rPr>
        <sz val="10"/>
        <color theme="0"/>
        <rFont val="Aptos Narrow"/>
        <family val="2"/>
        <scheme val="minor"/>
      </rPr>
      <t>GRI 303-3 (14.7.4); SASB EM-MM-140a.1</t>
    </r>
  </si>
  <si>
    <r>
      <t>Water Withdrawal FY2025 (m</t>
    </r>
    <r>
      <rPr>
        <b/>
        <vertAlign val="superscript"/>
        <sz val="10"/>
        <color rgb="FFFFFFFF"/>
        <rFont val="Aptos Narrow"/>
        <family val="2"/>
        <scheme val="minor"/>
      </rPr>
      <t>3</t>
    </r>
    <r>
      <rPr>
        <b/>
        <sz val="10"/>
        <color rgb="FFFFFFFF"/>
        <rFont val="Aptos Narrow"/>
        <family val="2"/>
        <scheme val="minor"/>
      </rPr>
      <t>)(1)</t>
    </r>
  </si>
  <si>
    <t>Greenstone(2)</t>
  </si>
  <si>
    <t>Mesquite(3)</t>
  </si>
  <si>
    <t>Freshwater (≤1,000 mg/L Total Dissolved Solids)</t>
  </si>
  <si>
    <t>Other Water (&gt;1,000 mg/L Total Dissolved Solids)</t>
  </si>
  <si>
    <t xml:space="preserve">Seawater </t>
  </si>
  <si>
    <t>Mine Dewatering</t>
  </si>
  <si>
    <t xml:space="preserve">Third-Party Water </t>
  </si>
  <si>
    <t>Total Water Withdrawal (4)</t>
  </si>
  <si>
    <r>
      <t>(1) Water withdrawal is defined as the sum of all water drawn from surface water, groundwater, seawater, or a third-party for any use over the course of the reporting period.
(2) During 2025, Greenstone Mine expanded its site water management system through the construction of additional collection ponds, diversion structures, and water storage facilities. Certain water volumes entering the system through newly developed infrastructure were not measured during the reporting period due to the phased installation of permanent monitoring equipment. Accordingly, these volumes were not included in reported water withdrawals or changes in storage. The site is continuing to enhance its water monitoring network and water accounting framework to support more comprehensive water balance reporting in future years.
(3) Areas with high or extremely high water stress. 
(4) Total water withdrawal is reported in cubic meters (m</t>
    </r>
    <r>
      <rPr>
        <vertAlign val="superscript"/>
        <sz val="9"/>
        <rFont val="Aptos Narrow"/>
        <family val="2"/>
        <scheme val="minor"/>
      </rPr>
      <t>3</t>
    </r>
    <r>
      <rPr>
        <sz val="9"/>
        <rFont val="Aptos Narrow"/>
        <family val="2"/>
        <scheme val="minor"/>
      </rPr>
      <t>) for all operating sites under the Company’s operational control during the reporting period. Withdrawals in areas of water stress have been identified using the World Resources Institute (WRI) Aqueduct Water Risk Atlas based on the geographic coordinates of each operation. Water volumes are measured using calibrated flow meters where available, supplemented by water balance models, utility invoices, and engineering estimates where direct measurement is not feasible. Withdrawals are further categorized as freshwater or other water based on site-specific water quality monitoring data or hydrogeological studies. Data is consolidated at the corporate level following an operational control approach. Assumptions and estimation methodologies are applied consistently across sites and reviewed as part of internal data validation processes.</t>
    </r>
  </si>
  <si>
    <t>Water Discharge by Mine Site</t>
  </si>
  <si>
    <r>
      <t xml:space="preserve">Disclosures: </t>
    </r>
    <r>
      <rPr>
        <sz val="10"/>
        <color theme="0"/>
        <rFont val="Aptos Narrow"/>
        <family val="2"/>
        <scheme val="minor"/>
      </rPr>
      <t>GRI 303-4 (14.7.5)</t>
    </r>
  </si>
  <si>
    <r>
      <t>Water Discharge FY2025 (m</t>
    </r>
    <r>
      <rPr>
        <b/>
        <vertAlign val="superscript"/>
        <sz val="10"/>
        <color rgb="FFFFFFFF"/>
        <rFont val="Aptos Narrow"/>
        <family val="2"/>
        <scheme val="minor"/>
      </rPr>
      <t>3</t>
    </r>
    <r>
      <rPr>
        <b/>
        <sz val="10"/>
        <color rgb="FFFFFFFF"/>
        <rFont val="Aptos Narrow"/>
        <family val="2"/>
        <scheme val="minor"/>
      </rPr>
      <t>)(1)</t>
    </r>
  </si>
  <si>
    <t>Mesquite(2)</t>
  </si>
  <si>
    <t>Water Discharge by Destination</t>
  </si>
  <si>
    <t>Third-Party Water (Total)</t>
  </si>
  <si>
    <t>Water Discharge by Freshwater and Other Water</t>
  </si>
  <si>
    <t>Other Water</t>
  </si>
  <si>
    <t>Total Water Discharge</t>
  </si>
  <si>
    <r>
      <t>(2) Total water discharge is reported in cubic metres (m</t>
    </r>
    <r>
      <rPr>
        <vertAlign val="superscript"/>
        <sz val="9"/>
        <color theme="1"/>
        <rFont val="Aptos Narrow"/>
        <family val="2"/>
        <scheme val="minor"/>
      </rPr>
      <t>3</t>
    </r>
    <r>
      <rPr>
        <sz val="9"/>
        <color theme="1"/>
        <rFont val="Aptos Narrow"/>
        <family val="2"/>
        <scheme val="minor"/>
      </rPr>
      <t>) for all sites under the Company’s operational control. Discharges are further categorized as freshwater (≤1,000 mg/L Total Dissolved Solids (TDS)) or other water (&gt;1,000 mg/L TDS) based on laboratory analysis and routine water quality monitoring. Discharges occurring in areas of water stress are identified using the World Resources Institute (WRI) Aqueduct Water Risk Atlas, based on site location. Priority substances of concern are defined in accordance with applicable national regulations, environmental permits, and recognized international guidelines where relevant. Discharge limits are established through regulatory approvals and site-specific environmental impact assessments. Compliance is verified through routine sampling, accredited laboratory analysis, and regulatory reporting. The number of material non-compliance incidents with discharge limits is tracked through internal compliance systems. Water discharge volumes are measured using calibrated flow meters, automated monitoring systems, and engineering estimates where direct measurement is not feasible. Data is consolidated using an operational control approach and subject to internal validation and review.
(2) Area with high or extremely high water stress.</t>
    </r>
  </si>
  <si>
    <t>Mine Sites Where Acid Rock Drainage is: (1) Predicted to Occur, (2) Actively Mitigated, and (3) Under Treatment or Remediation</t>
  </si>
  <si>
    <r>
      <t xml:space="preserve">Disclosures: </t>
    </r>
    <r>
      <rPr>
        <sz val="10"/>
        <color theme="0"/>
        <rFont val="Aptos Narrow"/>
        <family val="2"/>
        <scheme val="minor"/>
      </rPr>
      <t>GRI 14.7.1; SASB EM-MM-160a.2</t>
    </r>
  </si>
  <si>
    <t>Acid Rock Drainage (ARD) Management</t>
  </si>
  <si>
    <t>ARD predicted to occur</t>
  </si>
  <si>
    <t>ARD actively mitigated</t>
  </si>
  <si>
    <t>ARD under treatment or remediation</t>
  </si>
  <si>
    <t>Number of Incidents of Non-Compliance Associated with Water Quality Permits, Standards and Regulations</t>
  </si>
  <si>
    <r>
      <t xml:space="preserve">Disclosure: </t>
    </r>
    <r>
      <rPr>
        <sz val="10"/>
        <color theme="0"/>
        <rFont val="Aptos Narrow"/>
        <family val="2"/>
        <scheme val="minor"/>
      </rPr>
      <t>SASB EM-MM-140a.2</t>
    </r>
  </si>
  <si>
    <t>Incidents of Non-Compliance Associated with Water Quality Permits, Standards and Regulations</t>
  </si>
  <si>
    <t>Number of Incidents (1)</t>
  </si>
  <si>
    <t>(1) Consistent with SASB Metals &amp; Mining Standard, the scope of disclosure includes incidents governed by applicable jurisdictional statutory permits and regulations, which include the discharge of a hazardous substance, violation of pre-treatment requirements, or total maximum daily load (TMDL) exceedances. The scope of disclosure only includes incidents of non-compliance that resulted in a formal enforcement action(s). Formal enforcement actions are defined as government-recognized actions that address a violation or threatened violation of water quantity or quality laws, regulations, policies or orders, and can result in administrative penalty orders, administrative orders and judicial actions.</t>
  </si>
  <si>
    <t>Restated Information FY2024</t>
  </si>
  <si>
    <r>
      <t>Water Withdrawal FY2024 (m</t>
    </r>
    <r>
      <rPr>
        <b/>
        <vertAlign val="superscript"/>
        <sz val="10"/>
        <color rgb="FFFFFFFF"/>
        <rFont val="Aptos Narrow"/>
        <family val="2"/>
        <scheme val="minor"/>
      </rPr>
      <t>3</t>
    </r>
    <r>
      <rPr>
        <b/>
        <sz val="10"/>
        <color rgb="FFFFFFFF"/>
        <rFont val="Aptos Narrow"/>
        <family val="2"/>
        <scheme val="minor"/>
      </rPr>
      <t>)</t>
    </r>
  </si>
  <si>
    <t>Greenstone (3)</t>
  </si>
  <si>
    <t xml:space="preserve">Mesquite </t>
  </si>
  <si>
    <t>Fazenda</t>
  </si>
  <si>
    <t>Santa Luz</t>
  </si>
  <si>
    <t>% Total water withdrawn</t>
  </si>
  <si>
    <t xml:space="preserve">Mine Dewatering </t>
  </si>
  <si>
    <t>m3</t>
  </si>
  <si>
    <t xml:space="preserve">External Source </t>
  </si>
  <si>
    <t xml:space="preserve">Groundwater </t>
  </si>
  <si>
    <t xml:space="preserve">Surface Water </t>
  </si>
  <si>
    <t>Precipitation Water</t>
  </si>
  <si>
    <t xml:space="preserve">Total </t>
  </si>
  <si>
    <t>Water withdrawn from regions with high or extremely high baseline water stress</t>
  </si>
  <si>
    <t>Grand Total</t>
  </si>
  <si>
    <t>Tailings Storage Facilities (TSFs) Inventory Table</t>
  </si>
  <si>
    <r>
      <t xml:space="preserve">Disclosures: </t>
    </r>
    <r>
      <rPr>
        <sz val="11"/>
        <color theme="0"/>
        <rFont val="Aptos Narrow"/>
        <family val="2"/>
        <scheme val="minor"/>
      </rPr>
      <t>GRI 14 14.6.2, 14.6.3; SASB EM-MM-540a.1</t>
    </r>
  </si>
  <si>
    <t>Facility name(1)</t>
  </si>
  <si>
    <t>Ownership Status</t>
  </si>
  <si>
    <t>Operational Status</t>
  </si>
  <si>
    <t>Construction Method</t>
  </si>
  <si>
    <r>
      <t>Max. Permitted Storage Capacity (Mm</t>
    </r>
    <r>
      <rPr>
        <b/>
        <vertAlign val="superscript"/>
        <sz val="10"/>
        <color rgb="FFFFFFFF"/>
        <rFont val="Aptos Narrow"/>
        <family val="2"/>
        <scheme val="minor"/>
      </rPr>
      <t>3</t>
    </r>
    <r>
      <rPr>
        <b/>
        <sz val="10"/>
        <color rgb="FFFFFFFF"/>
        <rFont val="Aptos Narrow"/>
        <family val="2"/>
        <scheme val="minor"/>
      </rPr>
      <t>)</t>
    </r>
  </si>
  <si>
    <r>
      <t>Storage  Volume as of Dec 31, 2025 (Mm</t>
    </r>
    <r>
      <rPr>
        <b/>
        <vertAlign val="superscript"/>
        <sz val="10"/>
        <color rgb="FFFFFFFF"/>
        <rFont val="Aptos Narrow"/>
        <family val="2"/>
        <scheme val="minor"/>
      </rPr>
      <t>3</t>
    </r>
    <r>
      <rPr>
        <b/>
        <sz val="10"/>
        <color rgb="FFFFFFFF"/>
        <rFont val="Aptos Narrow"/>
        <family val="2"/>
        <scheme val="minor"/>
      </rPr>
      <t>)</t>
    </r>
  </si>
  <si>
    <t>Risk and Consequence Classification</t>
  </si>
  <si>
    <t>Independent Technical Review</t>
  </si>
  <si>
    <t>Greenstone Gold Mines</t>
  </si>
  <si>
    <t>Downstream</t>
  </si>
  <si>
    <r>
      <t>8.6</t>
    </r>
    <r>
      <rPr>
        <vertAlign val="superscript"/>
        <sz val="10"/>
        <color rgb="FF000000"/>
        <rFont val="Aptos Narrow"/>
        <family val="2"/>
        <scheme val="minor"/>
      </rPr>
      <t xml:space="preserve"> </t>
    </r>
    <r>
      <rPr>
        <sz val="10"/>
        <color rgb="FF000000"/>
        <rFont val="Aptos Narrow"/>
        <family val="2"/>
        <scheme val="minor"/>
      </rPr>
      <t>of slurry tailings and 4.8 of historical tailings (relocated to TMF), or 45% of current storage capacity</t>
    </r>
  </si>
  <si>
    <t>Low/Extreme</t>
  </si>
  <si>
    <t>September 2025</t>
  </si>
  <si>
    <t>Northern Empire</t>
  </si>
  <si>
    <t>Care and maintenance. The tailings facility is inactive and has been on a care and maintenance program since the operation of the mine ceased in the early 1990s.</t>
  </si>
  <si>
    <t xml:space="preserve">Initial dam only </t>
  </si>
  <si>
    <t>&lt;0.01</t>
  </si>
  <si>
    <t>&lt;0.01 or 100% of current storage capacity</t>
  </si>
  <si>
    <t>Low/Low (not officially classified)</t>
  </si>
  <si>
    <t>July 2025</t>
  </si>
  <si>
    <t xml:space="preserve">Valentine Gold Mines </t>
  </si>
  <si>
    <t>0.5 or 23% of current storage capacity</t>
  </si>
  <si>
    <t>Low/High</t>
  </si>
  <si>
    <t>El Limon Mine</t>
  </si>
  <si>
    <t>Triton Minera S.A.</t>
  </si>
  <si>
    <t xml:space="preserve">TSF1: Operating </t>
  </si>
  <si>
    <t>Centreline and Downstream</t>
  </si>
  <si>
    <t>6.1 or 92% of current storage capacity</t>
  </si>
  <si>
    <t>December 2025</t>
  </si>
  <si>
    <t xml:space="preserve">TSF2: Inactive </t>
  </si>
  <si>
    <t>Unclassified</t>
  </si>
  <si>
    <t>TSF2: Inactive</t>
  </si>
  <si>
    <t>2.3 or 96% of current storage capacity</t>
  </si>
  <si>
    <t>TSF3: Inactive</t>
  </si>
  <si>
    <t>0.3 or 100% of current storage capacity</t>
  </si>
  <si>
    <t>La Libertad Mine</t>
  </si>
  <si>
    <t>Desarrollo Minero de Nicaragua (DESMINIC) S.A.</t>
  </si>
  <si>
    <t>TSF1: Operating</t>
  </si>
  <si>
    <t>16.2 or 94% of current storage capacity</t>
  </si>
  <si>
    <t>TSF2: Operating</t>
  </si>
  <si>
    <t>Stage 1 In-Pit / Stage 2 Downstream Rockfill Dam</t>
  </si>
  <si>
    <t>3.0 or 67% of current storage capacity</t>
  </si>
  <si>
    <t>(1) This table shows information on Tailings Storage Facilities under Equinox Gold's operational control at the time of the Sustainability Report publication.</t>
  </si>
  <si>
    <t>Facility Name/Identifier(1)</t>
  </si>
  <si>
    <t>Ownership</t>
  </si>
  <si>
    <t>Date of initial operation</t>
  </si>
  <si>
    <t xml:space="preserve"> Pad Type</t>
  </si>
  <si>
    <t>Heap Operating Method</t>
  </si>
  <si>
    <t>Footprint Area (ha)</t>
  </si>
  <si>
    <t>Natural Ground Slope (%)</t>
  </si>
  <si>
    <t>Current Height of Heap (m)</t>
  </si>
  <si>
    <t>Max. Height of Heap (m)</t>
  </si>
  <si>
    <r>
      <t>Storage Capacity as of Dec 31, 2025 (Mm</t>
    </r>
    <r>
      <rPr>
        <vertAlign val="superscript"/>
        <sz val="10"/>
        <color theme="1"/>
        <rFont val="Aptos Narrow"/>
        <family val="2"/>
        <scheme val="minor"/>
      </rPr>
      <t>3</t>
    </r>
    <r>
      <rPr>
        <sz val="10"/>
        <color theme="1"/>
        <rFont val="Aptos Narrow"/>
        <family val="2"/>
        <scheme val="minor"/>
      </rPr>
      <t>)</t>
    </r>
  </si>
  <si>
    <r>
      <t>Ultimate Storage Capacity (Mm</t>
    </r>
    <r>
      <rPr>
        <vertAlign val="superscript"/>
        <sz val="10"/>
        <color theme="1"/>
        <rFont val="Aptos Narrow"/>
        <family val="2"/>
        <scheme val="minor"/>
      </rPr>
      <t>3</t>
    </r>
    <r>
      <rPr>
        <sz val="10"/>
        <color theme="1"/>
        <rFont val="Aptos Narrow"/>
        <family val="2"/>
        <scheme val="minor"/>
      </rPr>
      <t>)</t>
    </r>
  </si>
  <si>
    <t>Castle Mountain (Historic)</t>
  </si>
  <si>
    <t>San Bernardino County, California, USA</t>
  </si>
  <si>
    <t>Castle Mountain Venture and Viceroy Gold Corporation</t>
  </si>
  <si>
    <t>Stacked (2001) and Reclaimed (2004)</t>
  </si>
  <si>
    <t>Conventional</t>
  </si>
  <si>
    <t>Permanently loaded</t>
  </si>
  <si>
    <t>Castle Mountain (Phase 1)</t>
  </si>
  <si>
    <t>Los Filos Pad 1</t>
  </si>
  <si>
    <t>Municipality of Eduardo Neri, Guerrero State, Mexico</t>
  </si>
  <si>
    <t>Desarrollos Mineros San Luis, S.A. de C.V. (DMSL)</t>
  </si>
  <si>
    <t>Side hill</t>
  </si>
  <si>
    <t>up to 18%</t>
  </si>
  <si>
    <t>&lt;100</t>
  </si>
  <si>
    <t>Los Filos Pad 2</t>
  </si>
  <si>
    <t>Los Filos Pads 1+2</t>
  </si>
  <si>
    <t>2007 and 2013</t>
  </si>
  <si>
    <t>5%  up to 18%</t>
  </si>
  <si>
    <t>55 to &lt;100</t>
  </si>
  <si>
    <t>Mesquite Vista Pad 1</t>
  </si>
  <si>
    <t>Imperial County, California, USA</t>
  </si>
  <si>
    <t>Western Mesquite Mines, Inc. (WMMI)</t>
  </si>
  <si>
    <t>Filled</t>
  </si>
  <si>
    <t>Permanently loaded; unloaded for further leaching on other pads</t>
  </si>
  <si>
    <t>Mesquite Vista Pad 2</t>
  </si>
  <si>
    <t>Mesquite Vista Pads 1+2</t>
  </si>
  <si>
    <t>Permanently unloaded in 2024</t>
  </si>
  <si>
    <t>1989 and 1994</t>
  </si>
  <si>
    <t>Mesquite Pad 1</t>
  </si>
  <si>
    <t>Mesquite Pad 2</t>
  </si>
  <si>
    <t>Mesquite Pad 3</t>
  </si>
  <si>
    <t>1987+88</t>
  </si>
  <si>
    <t>Mesquite Pad 4</t>
  </si>
  <si>
    <t>Mesquite Pad 5</t>
  </si>
  <si>
    <t>Mesquite Pad 6</t>
  </si>
  <si>
    <t>Mesquite Pad 7</t>
  </si>
  <si>
    <t>Conventional (built on top of Pads 1 to 4)</t>
  </si>
  <si>
    <t>Mesquite Pads 1 to 7</t>
  </si>
  <si>
    <t>1986 to 2015</t>
  </si>
  <si>
    <t>(1) This table shows information on Heap Leach Facilities under Equinox Gold's operational control at the time of the Sustainability Report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</si>
</sst>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 #,##0.00_);_(* \(#,##0.00\);_(* &quot;-&quot;??_);_(@_)"/>
    <numFmt numFmtId="165" formatCode="_(* #,##0_);_(* \(#,##0\);_(* &quot;-&quot;??_);_(@_)"/>
    <numFmt numFmtId="166" formatCode="_-[$$-409]* #,##0.00_ ;_-[$$-409]* \-#,##0.00\ ;_-[$$-409]* &quot;-&quot;??_ ;_-@_ "/>
    <numFmt numFmtId="167" formatCode="#,##0_ ;\-#,##0\ "/>
    <numFmt numFmtId="168" formatCode="_-* #,##0_-;\-* #,##0_-;_-* &quot;-&quot;??_-;_-@_-"/>
    <numFmt numFmtId="169" formatCode="0.0"/>
    <numFmt numFmtId="170" formatCode="#,##0.000000000000"/>
    <numFmt numFmtId="171" formatCode="0.0%"/>
    <numFmt numFmtId="172" formatCode="#,##0.0,,\ &quot;M&quot;"/>
    <numFmt numFmtId="173" formatCode="_(* #,##0.0_);_(* \(#,##0.0\);_(* &quot;-&quot;?_);_(@_)"/>
    <numFmt numFmtId="174" formatCode="#,##0.0"/>
    <numFmt numFmtId="175" formatCode="#,##0.00_ ;\-#,##0.00\ "/>
  </numFmts>
  <fonts count="83">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1"/>
      <color rgb="FF000000"/>
      <name val="Aptos Narrow"/>
      <family val="2"/>
      <scheme val="minor"/>
    </font>
    <font>
      <sz val="10"/>
      <color theme="1"/>
      <name val="Aptos Narrow"/>
      <family val="2"/>
      <scheme val="minor"/>
    </font>
    <font>
      <b/>
      <sz val="10"/>
      <color theme="1"/>
      <name val="Aptos Narrow"/>
      <family val="2"/>
      <scheme val="minor"/>
    </font>
    <font>
      <b/>
      <sz val="11"/>
      <color rgb="FFFF0000"/>
      <name val="Aptos Narrow"/>
      <family val="2"/>
      <scheme val="minor"/>
    </font>
    <font>
      <u/>
      <sz val="11"/>
      <color theme="10"/>
      <name val="Aptos Narrow"/>
      <family val="2"/>
      <scheme val="minor"/>
    </font>
    <font>
      <sz val="8"/>
      <name val="Aptos Narrow"/>
      <family val="2"/>
      <scheme val="minor"/>
    </font>
    <font>
      <sz val="11"/>
      <name val="Aptos Narrow"/>
      <family val="2"/>
      <scheme val="minor"/>
    </font>
    <font>
      <sz val="9"/>
      <name val="Aptos Narrow"/>
      <family val="2"/>
      <scheme val="minor"/>
    </font>
    <font>
      <b/>
      <sz val="11"/>
      <name val="Aptos Narrow"/>
      <family val="2"/>
      <scheme val="minor"/>
    </font>
    <font>
      <sz val="9"/>
      <color rgb="FF000000"/>
      <name val="Aptos Narrow"/>
      <family val="2"/>
      <scheme val="minor"/>
    </font>
    <font>
      <sz val="9"/>
      <color theme="1"/>
      <name val="Aptos Narrow"/>
      <family val="2"/>
      <scheme val="minor"/>
    </font>
    <font>
      <sz val="9"/>
      <color rgb="FFFF0000"/>
      <name val="Aptos Narrow"/>
      <family val="2"/>
      <scheme val="minor"/>
    </font>
    <font>
      <sz val="12"/>
      <color theme="1"/>
      <name val="Aptos Narrow"/>
      <family val="2"/>
      <scheme val="minor"/>
    </font>
    <font>
      <sz val="11"/>
      <color rgb="FF000000"/>
      <name val="Aptos Narrow"/>
      <family val="2"/>
      <scheme val="minor"/>
    </font>
    <font>
      <sz val="12"/>
      <color rgb="FF006100"/>
      <name val="Aptos Narrow"/>
      <family val="2"/>
      <scheme val="minor"/>
    </font>
    <font>
      <sz val="12"/>
      <color rgb="FF9C0006"/>
      <name val="Aptos Narrow"/>
      <family val="2"/>
      <scheme val="minor"/>
    </font>
    <font>
      <u/>
      <sz val="10"/>
      <color theme="10"/>
      <name val="Aptos Narrow"/>
      <family val="2"/>
      <scheme val="minor"/>
    </font>
    <font>
      <b/>
      <sz val="14"/>
      <color rgb="FF21405E"/>
      <name val="Aptos Narrow"/>
      <family val="2"/>
      <scheme val="minor"/>
    </font>
    <font>
      <b/>
      <sz val="11"/>
      <color rgb="FF21405E"/>
      <name val="Aptos Narrow"/>
      <family val="2"/>
      <scheme val="minor"/>
    </font>
    <font>
      <b/>
      <sz val="16"/>
      <color rgb="FF21405E"/>
      <name val="Aptos Narrow"/>
      <family val="2"/>
      <scheme val="minor"/>
    </font>
    <font>
      <sz val="11"/>
      <color theme="7"/>
      <name val="Aptos Narrow"/>
      <family val="2"/>
      <scheme val="minor"/>
    </font>
    <font>
      <b/>
      <sz val="13"/>
      <color theme="3"/>
      <name val="Aptos Narrow"/>
      <family val="2"/>
      <scheme val="minor"/>
    </font>
    <font>
      <b/>
      <sz val="16"/>
      <color theme="3"/>
      <name val="Aptos Narrow"/>
      <family val="2"/>
      <scheme val="minor"/>
    </font>
    <font>
      <sz val="11"/>
      <color theme="1"/>
      <name val="Arial"/>
      <family val="2"/>
    </font>
    <font>
      <sz val="10"/>
      <name val="Arial"/>
      <family val="2"/>
    </font>
    <font>
      <sz val="10"/>
      <color theme="1"/>
      <name val="Arial"/>
      <family val="2"/>
    </font>
    <font>
      <sz val="10"/>
      <color rgb="FFFF0000"/>
      <name val="Arial"/>
      <family val="2"/>
    </font>
    <font>
      <sz val="14"/>
      <color theme="1"/>
      <name val="Arial"/>
      <family val="2"/>
    </font>
    <font>
      <sz val="11"/>
      <color theme="1"/>
      <name val="Aptos"/>
      <family val="2"/>
    </font>
    <font>
      <sz val="10"/>
      <color theme="1"/>
      <name val="Aptos"/>
      <family val="2"/>
    </font>
    <font>
      <sz val="11"/>
      <color theme="1"/>
      <name val="Aptos Narrow"/>
      <family val="2"/>
    </font>
    <font>
      <b/>
      <sz val="10"/>
      <color rgb="FFFFFFFF"/>
      <name val="Aptos Narrow"/>
      <family val="2"/>
    </font>
    <font>
      <b/>
      <sz val="10"/>
      <color rgb="FF000000"/>
      <name val="Aptos Narrow"/>
      <family val="2"/>
    </font>
    <font>
      <sz val="10"/>
      <color theme="1"/>
      <name val="Aptos Narrow"/>
      <family val="2"/>
    </font>
    <font>
      <b/>
      <sz val="11"/>
      <color rgb="FFFFFFFF"/>
      <name val="Aptos Narrow"/>
      <family val="2"/>
      <scheme val="minor"/>
    </font>
    <font>
      <u/>
      <sz val="18"/>
      <color theme="10"/>
      <name val="Aptos Narrow"/>
      <family val="2"/>
      <scheme val="minor"/>
    </font>
    <font>
      <u/>
      <sz val="18"/>
      <color theme="10"/>
      <name val="Aptos Narrow"/>
      <family val="2"/>
      <charset val="2"/>
      <scheme val="minor"/>
    </font>
    <font>
      <u/>
      <sz val="11"/>
      <color theme="10"/>
      <name val="Aptos Narrow"/>
      <family val="2"/>
      <charset val="2"/>
      <scheme val="minor"/>
    </font>
    <font>
      <b/>
      <sz val="10"/>
      <name val="Aptos Narrow"/>
      <family val="2"/>
    </font>
    <font>
      <sz val="10"/>
      <name val="Aptos Narrow"/>
      <family val="2"/>
    </font>
    <font>
      <b/>
      <sz val="11"/>
      <color theme="3"/>
      <name val="Aptos Narrow"/>
      <family val="2"/>
      <scheme val="minor"/>
    </font>
    <font>
      <sz val="11"/>
      <name val="Aptos"/>
      <family val="2"/>
    </font>
    <font>
      <sz val="10"/>
      <name val="Aptos Narrow"/>
      <family val="2"/>
      <scheme val="minor"/>
    </font>
    <font>
      <sz val="16"/>
      <color rgb="FF21405E"/>
      <name val="Aptos Narrow"/>
      <family val="2"/>
      <scheme val="minor"/>
    </font>
    <font>
      <sz val="11"/>
      <color rgb="FFFF0000"/>
      <name val="Aptos Narrow"/>
      <family val="2"/>
    </font>
    <font>
      <sz val="10"/>
      <name val="Aptos Narrow (Body)"/>
    </font>
    <font>
      <b/>
      <sz val="9"/>
      <name val="Aptos Narrow"/>
      <family val="2"/>
      <scheme val="minor"/>
    </font>
    <font>
      <vertAlign val="superscript"/>
      <sz val="9"/>
      <name val="Aptos Narrow"/>
      <family val="2"/>
      <scheme val="minor"/>
    </font>
    <font>
      <vertAlign val="superscript"/>
      <sz val="9"/>
      <color theme="1"/>
      <name val="Aptos Narrow"/>
      <family val="2"/>
      <scheme val="minor"/>
    </font>
    <font>
      <b/>
      <sz val="10"/>
      <color theme="0"/>
      <name val="Aptos Narrow"/>
      <family val="2"/>
      <scheme val="minor"/>
    </font>
    <font>
      <sz val="10"/>
      <color rgb="FF000000"/>
      <name val="Aptos Narrow"/>
      <family val="2"/>
    </font>
    <font>
      <b/>
      <sz val="10"/>
      <color rgb="FFFFFFFF"/>
      <name val="Aptos Narrow"/>
      <family val="2"/>
      <scheme val="minor"/>
    </font>
    <font>
      <b/>
      <sz val="10"/>
      <color rgb="FF000000"/>
      <name val="Aptos Narrow"/>
      <family val="2"/>
      <scheme val="minor"/>
    </font>
    <font>
      <b/>
      <sz val="10"/>
      <name val="Aptos Narrow"/>
      <family val="2"/>
      <scheme val="minor"/>
    </font>
    <font>
      <sz val="10"/>
      <color rgb="FF000000"/>
      <name val="Aptos Narrow"/>
      <family val="2"/>
      <scheme val="minor"/>
    </font>
    <font>
      <b/>
      <sz val="16"/>
      <color rgb="FF21405E"/>
      <name val="Aptos Narrow"/>
      <family val="2"/>
    </font>
    <font>
      <b/>
      <sz val="10"/>
      <color theme="0"/>
      <name val="Aptos Narrow"/>
      <family val="2"/>
    </font>
    <font>
      <b/>
      <sz val="10"/>
      <color rgb="FF002855"/>
      <name val="Aptos Narrow"/>
      <family val="2"/>
    </font>
    <font>
      <sz val="10"/>
      <color rgb="FFFF0000"/>
      <name val="Aptos Narrow"/>
      <family val="2"/>
    </font>
    <font>
      <b/>
      <sz val="10"/>
      <color theme="1"/>
      <name val="Aptos Narrow"/>
      <family val="2"/>
    </font>
    <font>
      <i/>
      <sz val="10"/>
      <color theme="1"/>
      <name val="Aptos Narrow"/>
      <family val="2"/>
    </font>
    <font>
      <b/>
      <i/>
      <sz val="10"/>
      <color rgb="FF000000"/>
      <name val="Aptos Narrow"/>
      <family val="2"/>
    </font>
    <font>
      <b/>
      <i/>
      <sz val="10"/>
      <name val="Aptos Narrow"/>
      <family val="2"/>
    </font>
    <font>
      <b/>
      <sz val="20"/>
      <color rgb="FF002855"/>
      <name val="Aptos Narrow"/>
      <family val="2"/>
      <scheme val="minor"/>
    </font>
    <font>
      <sz val="10"/>
      <color rgb="FFFF0000"/>
      <name val="Aptos Narrow"/>
      <family val="2"/>
      <scheme val="minor"/>
    </font>
    <font>
      <sz val="10"/>
      <color theme="0"/>
      <name val="Aptos Narrow"/>
      <family val="2"/>
      <scheme val="minor"/>
    </font>
    <font>
      <b/>
      <vertAlign val="superscript"/>
      <sz val="10"/>
      <color theme="1"/>
      <name val="Aptos Narrow"/>
      <family val="2"/>
      <scheme val="minor"/>
    </font>
    <font>
      <sz val="10"/>
      <color rgb="FFFFFFFF"/>
      <name val="Aptos Narrow"/>
      <family val="2"/>
      <scheme val="minor"/>
    </font>
    <font>
      <sz val="10"/>
      <color rgb="FF444444"/>
      <name val="Aptos Narrow"/>
      <family val="2"/>
      <scheme val="minor"/>
    </font>
    <font>
      <sz val="11"/>
      <color rgb="FF21405E"/>
      <name val="Aptos Narrow"/>
      <family val="2"/>
      <scheme val="minor"/>
    </font>
    <font>
      <sz val="10"/>
      <color rgb="FF0E2841"/>
      <name val="Aptos Narrow"/>
      <family val="2"/>
      <scheme val="minor"/>
    </font>
    <font>
      <b/>
      <sz val="10"/>
      <color rgb="FFFF0000"/>
      <name val="Aptos Narrow"/>
      <family val="2"/>
      <scheme val="minor"/>
    </font>
    <font>
      <b/>
      <vertAlign val="superscript"/>
      <sz val="10"/>
      <color rgb="FFFFFFFF"/>
      <name val="Aptos Narrow"/>
      <family val="2"/>
      <scheme val="minor"/>
    </font>
    <font>
      <vertAlign val="superscript"/>
      <sz val="10"/>
      <color rgb="FF000000"/>
      <name val="Aptos Narrow"/>
      <family val="2"/>
      <scheme val="minor"/>
    </font>
    <font>
      <vertAlign val="superscript"/>
      <sz val="10"/>
      <color theme="1"/>
      <name val="Aptos Narrow"/>
      <family val="2"/>
      <scheme val="minor"/>
    </font>
    <font>
      <sz val="9"/>
      <name val="Aptos Narrow (Body)"/>
    </font>
    <font>
      <i/>
      <u/>
      <sz val="10"/>
      <color theme="1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theme="3" tint="0.89999084444715716"/>
        <bgColor indexed="64"/>
      </patternFill>
    </fill>
    <fill>
      <patternFill patternType="solid">
        <fgColor rgb="FFB6812F"/>
        <bgColor indexed="64"/>
      </patternFill>
    </fill>
    <fill>
      <patternFill patternType="solid">
        <fgColor rgb="FF21405E"/>
        <bgColor indexed="64"/>
      </patternFill>
    </fill>
    <fill>
      <patternFill patternType="solid">
        <fgColor rgb="FF21405E"/>
        <bgColor theme="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rgb="FFEDEDED"/>
        <bgColor indexed="64"/>
      </patternFill>
    </fill>
    <fill>
      <patternFill patternType="solid">
        <fgColor rgb="FF21405E"/>
        <bgColor rgb="FF156082"/>
      </patternFill>
    </fill>
    <fill>
      <patternFill patternType="solid">
        <fgColor rgb="FF21405E"/>
        <bgColor rgb="FF000000"/>
      </patternFill>
    </fill>
    <fill>
      <patternFill patternType="solid">
        <fgColor rgb="FFFFFFFF"/>
        <bgColor rgb="FF000000"/>
      </patternFill>
    </fill>
    <fill>
      <patternFill patternType="solid">
        <fgColor rgb="FFB6812F"/>
        <bgColor rgb="FF000000"/>
      </patternFill>
    </fill>
    <fill>
      <patternFill patternType="solid">
        <fgColor rgb="FF21405E"/>
        <bgColor rgb="FF87A7BD"/>
      </patternFill>
    </fill>
  </fills>
  <borders count="61">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medium">
        <color rgb="FF21405E"/>
      </left>
      <right/>
      <top style="medium">
        <color rgb="FF21405E"/>
      </top>
      <bottom/>
      <diagonal/>
    </border>
    <border>
      <left/>
      <right style="medium">
        <color rgb="FF21405E"/>
      </right>
      <top style="medium">
        <color rgb="FF21405E"/>
      </top>
      <bottom/>
      <diagonal/>
    </border>
    <border>
      <left style="medium">
        <color rgb="FF21405E"/>
      </left>
      <right/>
      <top/>
      <bottom/>
      <diagonal/>
    </border>
    <border>
      <left/>
      <right style="medium">
        <color rgb="FF21405E"/>
      </right>
      <top/>
      <bottom/>
      <diagonal/>
    </border>
    <border>
      <left style="medium">
        <color rgb="FF21405E"/>
      </left>
      <right/>
      <top/>
      <bottom style="medium">
        <color rgb="FF21405E"/>
      </bottom>
      <diagonal/>
    </border>
    <border>
      <left/>
      <right style="medium">
        <color rgb="FF21405E"/>
      </right>
      <top/>
      <bottom style="medium">
        <color rgb="FF21405E"/>
      </bottom>
      <diagonal/>
    </border>
    <border>
      <left/>
      <right/>
      <top style="medium">
        <color rgb="FF21405E"/>
      </top>
      <bottom/>
      <diagonal/>
    </border>
    <border>
      <left/>
      <right/>
      <top/>
      <bottom style="medium">
        <color rgb="FF21405E"/>
      </bottom>
      <diagonal/>
    </border>
    <border>
      <left/>
      <right/>
      <top/>
      <bottom style="thick">
        <color theme="4" tint="0.499984740745262"/>
      </bottom>
      <diagonal/>
    </border>
    <border>
      <left/>
      <right/>
      <top/>
      <bottom style="thin">
        <color indexed="64"/>
      </bottom>
      <diagonal/>
    </border>
    <border>
      <left style="thin">
        <color rgb="FF21405E"/>
      </left>
      <right/>
      <top style="thin">
        <color rgb="FF21405E"/>
      </top>
      <bottom style="thin">
        <color rgb="FF21405E"/>
      </bottom>
      <diagonal/>
    </border>
    <border>
      <left/>
      <right/>
      <top style="thin">
        <color rgb="FF21405E"/>
      </top>
      <bottom style="thin">
        <color rgb="FF21405E"/>
      </bottom>
      <diagonal/>
    </border>
    <border>
      <left/>
      <right style="thin">
        <color rgb="FF21405E"/>
      </right>
      <top style="thin">
        <color rgb="FF21405E"/>
      </top>
      <bottom style="thin">
        <color rgb="FF21405E"/>
      </bottom>
      <diagonal/>
    </border>
    <border>
      <left style="thin">
        <color rgb="FF156082"/>
      </left>
      <right/>
      <top style="thin">
        <color rgb="FF156082"/>
      </top>
      <bottom/>
      <diagonal/>
    </border>
    <border>
      <left/>
      <right/>
      <top style="thin">
        <color rgb="FF156082"/>
      </top>
      <bottom/>
      <diagonal/>
    </border>
    <border>
      <left/>
      <right style="thin">
        <color rgb="FF156082"/>
      </right>
      <top style="thin">
        <color rgb="FF156082"/>
      </top>
      <bottom/>
      <diagonal/>
    </border>
    <border>
      <left/>
      <right/>
      <top style="thin">
        <color rgb="FF156082"/>
      </top>
      <bottom style="thin">
        <color rgb="FF156082"/>
      </bottom>
      <diagonal/>
    </border>
    <border>
      <left/>
      <right style="thin">
        <color rgb="FF156082"/>
      </right>
      <top/>
      <bottom/>
      <diagonal/>
    </border>
    <border>
      <left/>
      <right/>
      <top style="thin">
        <color indexed="64"/>
      </top>
      <bottom style="double">
        <color indexed="64"/>
      </bottom>
      <diagonal/>
    </border>
    <border>
      <left style="thin">
        <color rgb="FF21405E"/>
      </left>
      <right/>
      <top/>
      <bottom style="thin">
        <color rgb="FF21405E"/>
      </bottom>
      <diagonal/>
    </border>
    <border>
      <left/>
      <right/>
      <top/>
      <bottom style="thin">
        <color rgb="FF21405E"/>
      </bottom>
      <diagonal/>
    </border>
    <border>
      <left/>
      <right style="thin">
        <color rgb="FF21405E"/>
      </right>
      <top/>
      <bottom style="thin">
        <color rgb="FF21405E"/>
      </bottom>
      <diagonal/>
    </border>
    <border>
      <left/>
      <right/>
      <top style="thin">
        <color rgb="FF21405E"/>
      </top>
      <bottom/>
      <diagonal/>
    </border>
    <border>
      <left/>
      <right/>
      <top style="thin">
        <color theme="4"/>
      </top>
      <bottom style="double">
        <color theme="4"/>
      </bottom>
      <diagonal/>
    </border>
    <border>
      <left style="thin">
        <color rgb="FF21405E"/>
      </left>
      <right/>
      <top style="thin">
        <color rgb="FF21405E"/>
      </top>
      <bottom/>
      <diagonal/>
    </border>
    <border>
      <left/>
      <right style="thin">
        <color rgb="FF21405E"/>
      </right>
      <top style="thin">
        <color rgb="FF21405E"/>
      </top>
      <bottom/>
      <diagonal/>
    </border>
    <border>
      <left style="thin">
        <color rgb="FF21405E"/>
      </left>
      <right/>
      <top style="thin">
        <color theme="4"/>
      </top>
      <bottom style="double">
        <color theme="4"/>
      </bottom>
      <diagonal/>
    </border>
    <border>
      <left/>
      <right style="thin">
        <color rgb="FF21405E"/>
      </right>
      <top style="thin">
        <color theme="4"/>
      </top>
      <bottom style="double">
        <color theme="4"/>
      </bottom>
      <diagonal/>
    </border>
    <border>
      <left style="medium">
        <color rgb="FF21405E"/>
      </left>
      <right/>
      <top style="medium">
        <color rgb="FF21405E"/>
      </top>
      <bottom style="medium">
        <color rgb="FF21405E"/>
      </bottom>
      <diagonal/>
    </border>
    <border>
      <left/>
      <right/>
      <top style="medium">
        <color rgb="FF21405E"/>
      </top>
      <bottom style="medium">
        <color rgb="FF21405E"/>
      </bottom>
      <diagonal/>
    </border>
    <border>
      <left/>
      <right style="medium">
        <color rgb="FF21405E"/>
      </right>
      <top style="medium">
        <color rgb="FF21405E"/>
      </top>
      <bottom style="medium">
        <color rgb="FF21405E"/>
      </bottom>
      <diagonal/>
    </border>
    <border>
      <left/>
      <right style="medium">
        <color rgb="FF21405E"/>
      </right>
      <top style="thin">
        <color rgb="FF21405E"/>
      </top>
      <bottom style="double">
        <color rgb="FF21405E"/>
      </bottom>
      <diagonal/>
    </border>
    <border>
      <left/>
      <right/>
      <top style="thin">
        <color rgb="FF21405E"/>
      </top>
      <bottom style="double">
        <color rgb="FF21405E"/>
      </bottom>
      <diagonal/>
    </border>
    <border>
      <left style="medium">
        <color rgb="FF21405E"/>
      </left>
      <right/>
      <top style="thin">
        <color rgb="FF21405E"/>
      </top>
      <bottom style="double">
        <color rgb="FF21405E"/>
      </bottom>
      <diagonal/>
    </border>
    <border>
      <left/>
      <right/>
      <top style="thin">
        <color rgb="FFB6812F"/>
      </top>
      <bottom/>
      <diagonal/>
    </border>
    <border>
      <left style="thin">
        <color rgb="FF21405E"/>
      </left>
      <right/>
      <top style="thin">
        <color theme="4"/>
      </top>
      <bottom style="thin">
        <color rgb="FF21405E"/>
      </bottom>
      <diagonal/>
    </border>
    <border>
      <left/>
      <right/>
      <top style="thin">
        <color theme="4"/>
      </top>
      <bottom style="thin">
        <color rgb="FF21405E"/>
      </bottom>
      <diagonal/>
    </border>
    <border>
      <left/>
      <right style="thin">
        <color rgb="FF21405E"/>
      </right>
      <top style="thin">
        <color theme="4"/>
      </top>
      <bottom style="thin">
        <color rgb="FF21405E"/>
      </bottom>
      <diagonal/>
    </border>
    <border>
      <left style="thin">
        <color theme="4"/>
      </left>
      <right/>
      <top/>
      <bottom/>
      <diagonal/>
    </border>
    <border>
      <left style="thin">
        <color rgb="FF21405E"/>
      </left>
      <right/>
      <top style="thin">
        <color theme="4"/>
      </top>
      <bottom style="thin">
        <color theme="4"/>
      </bottom>
      <diagonal/>
    </border>
    <border>
      <left/>
      <right style="thin">
        <color rgb="FF21405E"/>
      </right>
      <top style="thin">
        <color theme="4"/>
      </top>
      <bottom style="thin">
        <color theme="4"/>
      </bottom>
      <diagonal/>
    </border>
    <border>
      <left/>
      <right/>
      <top/>
      <bottom style="double">
        <color rgb="FF21405E"/>
      </bottom>
      <diagonal/>
    </border>
    <border>
      <left style="thin">
        <color rgb="FF21405E"/>
      </left>
      <right/>
      <top style="thin">
        <color rgb="FF21405E"/>
      </top>
      <bottom style="double">
        <color rgb="FF21405E"/>
      </bottom>
      <diagonal/>
    </border>
    <border>
      <left/>
      <right style="thin">
        <color rgb="FF21405E"/>
      </right>
      <top style="thin">
        <color rgb="FF21405E"/>
      </top>
      <bottom style="double">
        <color rgb="FF21405E"/>
      </bottom>
      <diagonal/>
    </border>
    <border>
      <left style="thin">
        <color rgb="FF156082"/>
      </left>
      <right/>
      <top/>
      <bottom/>
      <diagonal/>
    </border>
    <border>
      <left style="thin">
        <color rgb="FF156082"/>
      </left>
      <right/>
      <top/>
      <bottom style="thin">
        <color rgb="FF156082"/>
      </bottom>
      <diagonal/>
    </border>
    <border>
      <left/>
      <right/>
      <top/>
      <bottom style="thin">
        <color rgb="FF156082"/>
      </bottom>
      <diagonal/>
    </border>
    <border>
      <left/>
      <right style="thin">
        <color rgb="FF156082"/>
      </right>
      <top/>
      <bottom style="thin">
        <color rgb="FF156082"/>
      </bottom>
      <diagonal/>
    </border>
    <border>
      <left style="thin">
        <color rgb="FF21405E"/>
      </left>
      <right style="thin">
        <color rgb="FF21405E"/>
      </right>
      <top style="thin">
        <color rgb="FF21405E"/>
      </top>
      <bottom style="thin">
        <color rgb="FF21405E"/>
      </bottom>
      <diagonal/>
    </border>
    <border>
      <left style="thin">
        <color rgb="FF788498"/>
      </left>
      <right/>
      <top/>
      <bottom/>
      <diagonal/>
    </border>
    <border>
      <left style="thin">
        <color rgb="FF156082"/>
      </left>
      <right/>
      <top style="thin">
        <color rgb="FF21405E"/>
      </top>
      <bottom style="double">
        <color rgb="FF21405E"/>
      </bottom>
      <diagonal/>
    </border>
    <border>
      <left/>
      <right style="thin">
        <color rgb="FF156082"/>
      </right>
      <top style="thin">
        <color rgb="FF21405E"/>
      </top>
      <bottom style="double">
        <color rgb="FF21405E"/>
      </bottom>
      <diagonal/>
    </border>
    <border>
      <left/>
      <right style="thin">
        <color indexed="64"/>
      </right>
      <top style="thin">
        <color rgb="FF156082"/>
      </top>
      <bottom style="thin">
        <color rgb="FF156082"/>
      </bottom>
      <diagonal/>
    </border>
    <border>
      <left/>
      <right style="thin">
        <color indexed="64"/>
      </right>
      <top style="thin">
        <color rgb="FF156082"/>
      </top>
      <bottom/>
      <diagonal/>
    </border>
  </borders>
  <cellStyleXfs count="12">
    <xf numFmtId="0" fontId="0" fillId="0" borderId="0"/>
    <xf numFmtId="9" fontId="3" fillId="0" borderId="0" applyFont="0" applyFill="0" applyBorder="0" applyAlignment="0" applyProtection="0"/>
    <xf numFmtId="0" fontId="22" fillId="0" borderId="0" applyNumberFormat="0" applyFill="0" applyBorder="0" applyAlignment="0" applyProtection="0"/>
    <xf numFmtId="43" fontId="3" fillId="0" borderId="0" applyFont="0" applyFill="0" applyBorder="0" applyAlignment="0" applyProtection="0"/>
    <xf numFmtId="0" fontId="18" fillId="0" borderId="0"/>
    <xf numFmtId="43" fontId="18" fillId="0" borderId="0" applyFon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0" borderId="0" applyNumberFormat="0" applyFill="0" applyBorder="0" applyAlignment="0" applyProtection="0"/>
    <xf numFmtId="0" fontId="27" fillId="0" borderId="15" applyNumberFormat="0" applyFill="0" applyAlignment="0" applyProtection="0"/>
    <xf numFmtId="164" fontId="3" fillId="0" borderId="0"/>
    <xf numFmtId="9" fontId="3" fillId="0" borderId="0"/>
  </cellStyleXfs>
  <cellXfs count="663">
    <xf numFmtId="0" fontId="0" fillId="0" borderId="0" xfId="0"/>
    <xf numFmtId="0" fontId="2" fillId="0" borderId="0" xfId="0" applyFont="1"/>
    <xf numFmtId="0" fontId="1" fillId="0" borderId="0" xfId="0" applyFont="1"/>
    <xf numFmtId="0" fontId="5" fillId="0" borderId="0" xfId="0" applyFont="1"/>
    <xf numFmtId="9" fontId="0" fillId="0" borderId="0" xfId="1" applyFont="1"/>
    <xf numFmtId="0" fontId="9" fillId="0" borderId="0" xfId="0" applyFont="1"/>
    <xf numFmtId="0" fontId="12" fillId="0" borderId="0" xfId="0" applyFont="1"/>
    <xf numFmtId="0" fontId="16" fillId="0" borderId="0" xfId="0" applyFont="1"/>
    <xf numFmtId="9" fontId="16" fillId="0" borderId="0" xfId="0" applyNumberFormat="1" applyFont="1"/>
    <xf numFmtId="167" fontId="16" fillId="0" borderId="0" xfId="0" applyNumberFormat="1" applyFont="1"/>
    <xf numFmtId="0" fontId="0" fillId="0" borderId="0" xfId="0" applyAlignment="1">
      <alignment wrapText="1"/>
    </xf>
    <xf numFmtId="0" fontId="1" fillId="0" borderId="0" xfId="0" applyFont="1" applyAlignment="1">
      <alignment horizontal="right" vertical="top" wrapText="1"/>
    </xf>
    <xf numFmtId="166" fontId="1" fillId="0" borderId="0" xfId="0" applyNumberFormat="1" applyFont="1" applyAlignment="1">
      <alignment horizontal="right" vertical="top" wrapText="1"/>
    </xf>
    <xf numFmtId="0" fontId="4" fillId="0" borderId="0" xfId="0" applyFont="1"/>
    <xf numFmtId="168" fontId="0" fillId="0" borderId="0" xfId="3" applyNumberFormat="1" applyFont="1"/>
    <xf numFmtId="168" fontId="1" fillId="0" borderId="0" xfId="3" applyNumberFormat="1" applyFont="1" applyBorder="1"/>
    <xf numFmtId="0" fontId="16" fillId="0" borderId="0" xfId="0" applyFont="1" applyAlignment="1">
      <alignment horizontal="left"/>
    </xf>
    <xf numFmtId="0" fontId="23" fillId="0" borderId="0" xfId="0" applyFont="1"/>
    <xf numFmtId="0" fontId="4" fillId="7" borderId="0" xfId="0" applyFont="1" applyFill="1"/>
    <xf numFmtId="0" fontId="24" fillId="0" borderId="0" xfId="0" applyFont="1"/>
    <xf numFmtId="0" fontId="0" fillId="7" borderId="0" xfId="0" applyFill="1"/>
    <xf numFmtId="0" fontId="16" fillId="0" borderId="0" xfId="0" applyFont="1" applyAlignment="1">
      <alignment horizontal="left" vertical="top" wrapText="1"/>
    </xf>
    <xf numFmtId="0" fontId="5" fillId="7" borderId="0" xfId="0" applyFont="1" applyFill="1"/>
    <xf numFmtId="0" fontId="2" fillId="7" borderId="0" xfId="0" applyFont="1" applyFill="1"/>
    <xf numFmtId="0" fontId="26" fillId="0" borderId="0" xfId="0" applyFont="1"/>
    <xf numFmtId="1" fontId="1" fillId="0" borderId="0" xfId="0" applyNumberFormat="1" applyFont="1"/>
    <xf numFmtId="0" fontId="16" fillId="0" borderId="0" xfId="0" applyFont="1" applyAlignment="1">
      <alignment vertical="top" wrapText="1"/>
    </xf>
    <xf numFmtId="0" fontId="16" fillId="0" borderId="0" xfId="0" applyFont="1" applyAlignment="1">
      <alignment vertical="top"/>
    </xf>
    <xf numFmtId="43" fontId="0" fillId="0" borderId="0" xfId="3" applyFont="1"/>
    <xf numFmtId="43" fontId="1" fillId="0" borderId="0" xfId="3" applyFont="1"/>
    <xf numFmtId="9" fontId="0" fillId="0" borderId="0" xfId="1" applyFont="1" applyFill="1" applyBorder="1"/>
    <xf numFmtId="0" fontId="16" fillId="0" borderId="0" xfId="0" applyFont="1" applyAlignment="1">
      <alignment horizontal="left" vertical="top"/>
    </xf>
    <xf numFmtId="0" fontId="28" fillId="0" borderId="0" xfId="0" applyFont="1"/>
    <xf numFmtId="0" fontId="25" fillId="0" borderId="0" xfId="0" applyFont="1"/>
    <xf numFmtId="0" fontId="29" fillId="2" borderId="0" xfId="0" applyFont="1" applyFill="1"/>
    <xf numFmtId="0" fontId="31" fillId="2" borderId="0" xfId="0" applyFont="1" applyFill="1"/>
    <xf numFmtId="0" fontId="33" fillId="2" borderId="0" xfId="0" applyFont="1" applyFill="1"/>
    <xf numFmtId="0" fontId="7" fillId="0" borderId="0" xfId="0" applyFont="1"/>
    <xf numFmtId="0" fontId="8" fillId="0" borderId="0" xfId="0" applyFont="1"/>
    <xf numFmtId="0" fontId="35" fillId="0" borderId="0" xfId="0" applyFont="1"/>
    <xf numFmtId="0" fontId="15" fillId="0" borderId="0" xfId="0" applyFont="1" applyAlignment="1">
      <alignment horizontal="left" vertical="top" wrapText="1"/>
    </xf>
    <xf numFmtId="0" fontId="19" fillId="0" borderId="0" xfId="0" applyFont="1"/>
    <xf numFmtId="0" fontId="19" fillId="0" borderId="0" xfId="0" applyFont="1" applyAlignment="1">
      <alignment vertical="top"/>
    </xf>
    <xf numFmtId="0" fontId="0" fillId="0" borderId="0" xfId="0" applyAlignment="1">
      <alignment vertical="center"/>
    </xf>
    <xf numFmtId="0" fontId="15" fillId="0" borderId="0" xfId="0" applyFont="1" applyAlignment="1">
      <alignment vertical="top" wrapText="1"/>
    </xf>
    <xf numFmtId="0" fontId="14" fillId="0" borderId="0" xfId="0" applyFont="1"/>
    <xf numFmtId="0" fontId="12" fillId="0" borderId="0" xfId="0" applyFont="1" applyAlignment="1">
      <alignment vertical="top" wrapText="1"/>
    </xf>
    <xf numFmtId="9" fontId="12" fillId="0" borderId="0" xfId="1" applyFont="1"/>
    <xf numFmtId="43" fontId="12" fillId="0" borderId="0" xfId="3" applyFont="1"/>
    <xf numFmtId="43" fontId="9" fillId="0" borderId="0" xfId="3" applyFont="1"/>
    <xf numFmtId="0" fontId="13" fillId="0" borderId="0" xfId="0" applyFont="1" applyAlignment="1">
      <alignment horizontal="left" vertical="top" wrapText="1"/>
    </xf>
    <xf numFmtId="0" fontId="42" fillId="0" borderId="0" xfId="2" applyFont="1" applyFill="1" applyBorder="1" applyAlignment="1">
      <alignment horizontal="left" vertical="top" wrapText="1"/>
    </xf>
    <xf numFmtId="0" fontId="43" fillId="0" borderId="0" xfId="2" applyFont="1" applyFill="1" applyBorder="1" applyAlignment="1">
      <alignment horizontal="right" vertical="top" wrapText="1"/>
    </xf>
    <xf numFmtId="0" fontId="22" fillId="0" borderId="21" xfId="2" applyBorder="1" applyAlignment="1">
      <alignment horizontal="left" vertical="top" wrapText="1"/>
    </xf>
    <xf numFmtId="0" fontId="13" fillId="0" borderId="0" xfId="0" applyFont="1" applyAlignment="1">
      <alignment vertical="top" wrapText="1"/>
    </xf>
    <xf numFmtId="165" fontId="6" fillId="16" borderId="0" xfId="3" applyNumberFormat="1" applyFont="1" applyFill="1" applyBorder="1" applyAlignment="1">
      <alignment horizontal="center" vertical="center"/>
    </xf>
    <xf numFmtId="0" fontId="19" fillId="16" borderId="0" xfId="0" applyFont="1" applyFill="1" applyAlignment="1">
      <alignment horizontal="center" vertical="center" wrapText="1"/>
    </xf>
    <xf numFmtId="165" fontId="19" fillId="16" borderId="0" xfId="3" applyNumberFormat="1" applyFont="1" applyFill="1" applyBorder="1" applyAlignment="1">
      <alignment horizontal="center" vertical="center"/>
    </xf>
    <xf numFmtId="0" fontId="6" fillId="0" borderId="0" xfId="0" applyFont="1" applyAlignment="1">
      <alignment horizontal="left" vertical="center"/>
    </xf>
    <xf numFmtId="0" fontId="46" fillId="0" borderId="0" xfId="0" applyFont="1"/>
    <xf numFmtId="0" fontId="40" fillId="0" borderId="0" xfId="0" applyFont="1" applyAlignment="1">
      <alignment horizontal="center" vertical="center" wrapText="1"/>
    </xf>
    <xf numFmtId="0" fontId="19" fillId="0" borderId="0" xfId="0" applyFont="1" applyAlignment="1">
      <alignment vertical="center" wrapText="1"/>
    </xf>
    <xf numFmtId="0" fontId="10" fillId="0" borderId="0" xfId="2" applyFont="1" applyFill="1" applyBorder="1" applyAlignment="1">
      <alignment vertical="center" wrapText="1"/>
    </xf>
    <xf numFmtId="0" fontId="48" fillId="2" borderId="0" xfId="2" applyFont="1" applyFill="1" applyAlignment="1">
      <alignment vertical="top" wrapText="1"/>
    </xf>
    <xf numFmtId="0" fontId="0" fillId="2" borderId="0" xfId="0" applyFill="1"/>
    <xf numFmtId="0" fontId="19" fillId="2" borderId="0" xfId="0" applyFont="1" applyFill="1"/>
    <xf numFmtId="9" fontId="26" fillId="0" borderId="0" xfId="1" applyFont="1"/>
    <xf numFmtId="0" fontId="14" fillId="0" borderId="0" xfId="0" applyFont="1" applyAlignment="1">
      <alignment horizontal="left"/>
    </xf>
    <xf numFmtId="0" fontId="24" fillId="2" borderId="0" xfId="0" applyFont="1" applyFill="1"/>
    <xf numFmtId="0" fontId="48" fillId="0" borderId="0" xfId="2" applyFont="1" applyFill="1"/>
    <xf numFmtId="0" fontId="0" fillId="0" borderId="0" xfId="0" applyAlignment="1">
      <alignment horizontal="center" vertical="center"/>
    </xf>
    <xf numFmtId="0" fontId="2" fillId="0" borderId="0" xfId="0" applyFont="1" applyAlignment="1">
      <alignment horizontal="center"/>
    </xf>
    <xf numFmtId="0" fontId="7" fillId="8" borderId="0" xfId="0" applyFont="1" applyFill="1" applyAlignment="1">
      <alignment horizontal="center" vertical="center"/>
    </xf>
    <xf numFmtId="0" fontId="4" fillId="7" borderId="0" xfId="0" applyFont="1" applyFill="1" applyAlignment="1">
      <alignment wrapText="1"/>
    </xf>
    <xf numFmtId="165" fontId="16" fillId="0" borderId="0" xfId="0" applyNumberFormat="1" applyFont="1"/>
    <xf numFmtId="168" fontId="19" fillId="0" borderId="0" xfId="5" applyNumberFormat="1" applyFont="1" applyFill="1" applyBorder="1"/>
    <xf numFmtId="0" fontId="57" fillId="14" borderId="0" xfId="0" applyFont="1" applyFill="1" applyAlignment="1">
      <alignment horizontal="center" vertical="top" wrapText="1"/>
    </xf>
    <xf numFmtId="0" fontId="58" fillId="0" borderId="21" xfId="0" applyFont="1" applyBorder="1" applyAlignment="1">
      <alignment horizontal="left" vertical="top" wrapText="1"/>
    </xf>
    <xf numFmtId="0" fontId="7" fillId="0" borderId="21" xfId="0" applyFont="1" applyBorder="1" applyAlignment="1">
      <alignment horizontal="left" vertical="top" wrapText="1"/>
    </xf>
    <xf numFmtId="0" fontId="7" fillId="0" borderId="21" xfId="0" quotePrefix="1" applyFont="1" applyBorder="1" applyAlignment="1">
      <alignment horizontal="left" vertical="top" wrapText="1"/>
    </xf>
    <xf numFmtId="0" fontId="59" fillId="0" borderId="21" xfId="0" applyFont="1" applyBorder="1" applyAlignment="1">
      <alignment horizontal="left" vertical="top" wrapText="1"/>
    </xf>
    <xf numFmtId="0" fontId="48" fillId="0" borderId="21" xfId="0" quotePrefix="1" applyFont="1" applyBorder="1" applyAlignment="1">
      <alignment horizontal="left" vertical="top" wrapText="1"/>
    </xf>
    <xf numFmtId="0" fontId="63" fillId="2" borderId="0" xfId="0" applyFont="1" applyFill="1" applyAlignment="1">
      <alignment horizontal="left" vertical="center"/>
    </xf>
    <xf numFmtId="0" fontId="63" fillId="2" borderId="0" xfId="0" applyFont="1" applyFill="1" applyAlignment="1">
      <alignment horizontal="left" vertical="center" wrapText="1"/>
    </xf>
    <xf numFmtId="0" fontId="64" fillId="2" borderId="0" xfId="0" applyFont="1" applyFill="1"/>
    <xf numFmtId="0" fontId="37" fillId="8" borderId="55" xfId="0" applyFont="1" applyFill="1" applyBorder="1" applyAlignment="1">
      <alignment horizontal="center" vertical="center" wrapText="1"/>
    </xf>
    <xf numFmtId="0" fontId="62" fillId="8" borderId="55" xfId="0" applyFont="1" applyFill="1" applyBorder="1" applyAlignment="1">
      <alignment horizontal="center" vertical="center" wrapText="1"/>
    </xf>
    <xf numFmtId="0" fontId="44" fillId="10" borderId="55" xfId="0" applyFont="1" applyFill="1" applyBorder="1" applyAlignment="1">
      <alignment horizontal="left" vertical="top" wrapText="1"/>
    </xf>
    <xf numFmtId="0" fontId="38" fillId="10" borderId="55" xfId="0" applyFont="1" applyFill="1" applyBorder="1" applyAlignment="1">
      <alignment horizontal="left" vertical="top" wrapText="1"/>
    </xf>
    <xf numFmtId="0" fontId="56" fillId="0" borderId="55" xfId="0" applyFont="1" applyBorder="1" applyAlignment="1">
      <alignment horizontal="center" vertical="top" wrapText="1"/>
    </xf>
    <xf numFmtId="0" fontId="38" fillId="10" borderId="55" xfId="0" applyFont="1" applyFill="1" applyBorder="1" applyAlignment="1">
      <alignment vertical="top" wrapText="1"/>
    </xf>
    <xf numFmtId="0" fontId="39" fillId="2" borderId="0" xfId="0" applyFont="1" applyFill="1"/>
    <xf numFmtId="0" fontId="39" fillId="2" borderId="0" xfId="0" applyFont="1" applyFill="1" applyAlignment="1">
      <alignment vertical="center"/>
    </xf>
    <xf numFmtId="0" fontId="39" fillId="2" borderId="0" xfId="0" applyFont="1" applyFill="1" applyAlignment="1">
      <alignment vertical="center" wrapText="1"/>
    </xf>
    <xf numFmtId="0" fontId="36" fillId="2" borderId="0" xfId="0" applyFont="1" applyFill="1"/>
    <xf numFmtId="0" fontId="36" fillId="2" borderId="0" xfId="0" applyFont="1" applyFill="1" applyAlignment="1">
      <alignment vertical="center"/>
    </xf>
    <xf numFmtId="0" fontId="36" fillId="2" borderId="0" xfId="0" applyFont="1" applyFill="1" applyAlignment="1">
      <alignment vertical="center" wrapText="1"/>
    </xf>
    <xf numFmtId="0" fontId="50" fillId="2" borderId="0" xfId="0" applyFont="1" applyFill="1"/>
    <xf numFmtId="0" fontId="69" fillId="2" borderId="0" xfId="0" applyFont="1" applyFill="1" applyAlignment="1">
      <alignment horizontal="left" vertical="center"/>
    </xf>
    <xf numFmtId="0" fontId="69" fillId="2" borderId="16" xfId="0" applyFont="1" applyFill="1" applyBorder="1" applyAlignment="1">
      <alignment horizontal="left" vertical="center" wrapText="1"/>
    </xf>
    <xf numFmtId="0" fontId="69" fillId="2" borderId="0" xfId="0" applyFont="1" applyFill="1" applyAlignment="1">
      <alignment horizontal="left" vertical="center" wrapText="1"/>
    </xf>
    <xf numFmtId="0" fontId="55" fillId="8" borderId="0" xfId="0" applyFont="1" applyFill="1" applyAlignment="1">
      <alignment horizontal="center" vertical="center" wrapText="1"/>
    </xf>
    <xf numFmtId="0" fontId="8" fillId="0" borderId="0" xfId="0" applyFont="1" applyAlignment="1">
      <alignment horizontal="left" vertical="top" wrapText="1"/>
    </xf>
    <xf numFmtId="0" fontId="7" fillId="0" borderId="0" xfId="0" applyFont="1" applyAlignment="1">
      <alignment horizontal="left" vertical="top" wrapText="1"/>
    </xf>
    <xf numFmtId="0" fontId="60" fillId="0" borderId="0" xfId="0" applyFont="1" applyAlignment="1">
      <alignment vertical="top" wrapText="1"/>
    </xf>
    <xf numFmtId="0" fontId="60" fillId="2" borderId="0" xfId="0" applyFont="1" applyFill="1" applyAlignment="1">
      <alignment vertical="top" wrapText="1"/>
    </xf>
    <xf numFmtId="0" fontId="48" fillId="0" borderId="0" xfId="0" applyFont="1" applyAlignment="1">
      <alignment vertical="top" wrapText="1"/>
    </xf>
    <xf numFmtId="0" fontId="10" fillId="0" borderId="0" xfId="2" applyFont="1" applyFill="1" applyBorder="1" applyAlignment="1">
      <alignment horizontal="right" vertical="top" wrapText="1"/>
    </xf>
    <xf numFmtId="164" fontId="0" fillId="0" borderId="0" xfId="0" applyNumberFormat="1" applyAlignment="1">
      <alignment horizontal="right"/>
    </xf>
    <xf numFmtId="4" fontId="0" fillId="0" borderId="0" xfId="0" applyNumberFormat="1"/>
    <xf numFmtId="165" fontId="0" fillId="0" borderId="0" xfId="0" applyNumberFormat="1"/>
    <xf numFmtId="0" fontId="0" fillId="2" borderId="0" xfId="0" applyFill="1" applyAlignment="1">
      <alignment vertical="center"/>
    </xf>
    <xf numFmtId="0" fontId="0" fillId="2" borderId="0" xfId="0" applyFill="1" applyAlignment="1">
      <alignment horizontal="center"/>
    </xf>
    <xf numFmtId="0" fontId="41" fillId="0" borderId="0" xfId="2" applyFont="1" applyFill="1" applyBorder="1" applyAlignment="1">
      <alignment horizontal="left" vertical="top" wrapText="1"/>
    </xf>
    <xf numFmtId="0" fontId="0" fillId="0" borderId="0" xfId="0" quotePrefix="1" applyAlignment="1">
      <alignment horizontal="left" vertical="top" wrapText="1"/>
    </xf>
    <xf numFmtId="0" fontId="0" fillId="0" borderId="0" xfId="0" quotePrefix="1" applyAlignment="1" applyProtection="1">
      <alignment horizontal="left" vertical="top" wrapText="1"/>
      <protection locked="0"/>
    </xf>
    <xf numFmtId="0" fontId="0" fillId="0" borderId="0" xfId="0" applyAlignment="1">
      <alignment horizontal="left" indent="2"/>
    </xf>
    <xf numFmtId="0" fontId="22" fillId="0" borderId="0" xfId="2" applyFill="1" applyBorder="1" applyAlignment="1">
      <alignment horizontal="right" vertical="top" wrapText="1"/>
    </xf>
    <xf numFmtId="173" fontId="0" fillId="0" borderId="0" xfId="0" applyNumberFormat="1"/>
    <xf numFmtId="0" fontId="0" fillId="0" borderId="0" xfId="0" applyAlignment="1">
      <alignment horizontal="center"/>
    </xf>
    <xf numFmtId="0" fontId="47" fillId="0" borderId="0" xfId="0" applyFont="1" applyAlignment="1">
      <alignment vertical="top" wrapText="1"/>
    </xf>
    <xf numFmtId="0" fontId="34" fillId="0" borderId="0" xfId="0" applyFont="1" applyAlignment="1">
      <alignment vertical="top" wrapText="1"/>
    </xf>
    <xf numFmtId="0" fontId="7" fillId="8" borderId="0" xfId="0" applyFont="1" applyFill="1" applyAlignment="1">
      <alignment horizontal="center" vertical="center" wrapText="1"/>
    </xf>
    <xf numFmtId="0" fontId="71" fillId="8" borderId="0" xfId="0" applyFont="1" applyFill="1" applyAlignment="1">
      <alignment horizontal="center"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71" fillId="7" borderId="0" xfId="0" applyFont="1" applyFill="1"/>
    <xf numFmtId="0" fontId="55" fillId="8" borderId="1" xfId="0" applyFont="1" applyFill="1" applyBorder="1" applyAlignment="1">
      <alignment horizontal="center" vertical="top" wrapText="1"/>
    </xf>
    <xf numFmtId="0" fontId="8" fillId="0" borderId="0" xfId="0" applyFont="1" applyAlignment="1">
      <alignment vertical="top" wrapText="1"/>
    </xf>
    <xf numFmtId="0" fontId="7" fillId="0" borderId="0" xfId="0" applyFont="1" applyAlignment="1">
      <alignment vertical="top" wrapText="1"/>
    </xf>
    <xf numFmtId="0" fontId="8" fillId="8" borderId="0" xfId="0" applyFont="1" applyFill="1" applyAlignment="1">
      <alignment horizontal="center" vertical="center" wrapText="1"/>
    </xf>
    <xf numFmtId="0" fontId="57" fillId="8" borderId="0" xfId="0" applyFont="1" applyFill="1" applyAlignment="1">
      <alignment horizontal="center" vertical="center" wrapText="1"/>
    </xf>
    <xf numFmtId="0" fontId="22" fillId="0" borderId="0" xfId="2" applyBorder="1" applyAlignment="1">
      <alignment vertical="top" wrapText="1"/>
    </xf>
    <xf numFmtId="0" fontId="55" fillId="8" borderId="0" xfId="0" applyFont="1" applyFill="1" applyAlignment="1">
      <alignment vertical="center" wrapText="1"/>
    </xf>
    <xf numFmtId="3" fontId="7" fillId="0" borderId="0" xfId="0" applyNumberFormat="1" applyFont="1"/>
    <xf numFmtId="1" fontId="7" fillId="0" borderId="0" xfId="0" applyNumberFormat="1" applyFont="1"/>
    <xf numFmtId="168" fontId="7" fillId="0" borderId="0" xfId="3" applyNumberFormat="1" applyFont="1" applyAlignment="1">
      <alignment horizontal="right"/>
    </xf>
    <xf numFmtId="165" fontId="7" fillId="0" borderId="0" xfId="0" applyNumberFormat="1" applyFont="1" applyAlignment="1">
      <alignment horizontal="right"/>
    </xf>
    <xf numFmtId="0" fontId="55" fillId="8" borderId="31" xfId="0" applyFont="1" applyFill="1" applyBorder="1" applyAlignment="1">
      <alignment horizontal="center"/>
    </xf>
    <xf numFmtId="0" fontId="8" fillId="0" borderId="46" xfId="0" applyFont="1" applyBorder="1" applyAlignment="1">
      <alignment vertical="top"/>
    </xf>
    <xf numFmtId="0" fontId="7" fillId="0" borderId="5" xfId="0" applyFont="1" applyBorder="1" applyAlignment="1">
      <alignment horizontal="left" vertical="top" wrapText="1"/>
    </xf>
    <xf numFmtId="0" fontId="7" fillId="0" borderId="47" xfId="0" applyFont="1" applyBorder="1" applyAlignment="1">
      <alignment horizontal="left" vertical="top" wrapText="1"/>
    </xf>
    <xf numFmtId="0" fontId="8" fillId="0" borderId="42" xfId="0" applyFont="1" applyBorder="1" applyAlignment="1">
      <alignment vertical="top"/>
    </xf>
    <xf numFmtId="0" fontId="8" fillId="0" borderId="45" xfId="0" applyFont="1" applyBorder="1" applyAlignment="1">
      <alignment vertical="top"/>
    </xf>
    <xf numFmtId="0" fontId="8" fillId="0" borderId="1" xfId="0" applyFont="1" applyBorder="1" applyAlignment="1">
      <alignment vertical="top"/>
    </xf>
    <xf numFmtId="0" fontId="8" fillId="0" borderId="4" xfId="0" applyFont="1" applyBorder="1" applyAlignment="1">
      <alignment vertical="top"/>
    </xf>
    <xf numFmtId="0" fontId="8" fillId="0" borderId="1" xfId="0" applyFont="1" applyBorder="1"/>
    <xf numFmtId="0" fontId="7" fillId="0" borderId="3" xfId="0" applyFont="1" applyBorder="1"/>
    <xf numFmtId="0" fontId="57" fillId="15" borderId="17" xfId="0" applyFont="1" applyFill="1" applyBorder="1" applyAlignment="1">
      <alignment horizontal="center"/>
    </xf>
    <xf numFmtId="0" fontId="59" fillId="0" borderId="17" xfId="0" applyFont="1" applyBorder="1" applyAlignment="1">
      <alignment horizontal="left" vertical="top" wrapText="1"/>
    </xf>
    <xf numFmtId="0" fontId="7" fillId="2" borderId="0" xfId="0" applyFont="1" applyFill="1"/>
    <xf numFmtId="0" fontId="55" fillId="8" borderId="0" xfId="0" applyFont="1" applyFill="1"/>
    <xf numFmtId="0" fontId="7" fillId="8" borderId="0" xfId="0" applyFont="1" applyFill="1"/>
    <xf numFmtId="0" fontId="73" fillId="8" borderId="0" xfId="0" applyFont="1" applyFill="1"/>
    <xf numFmtId="0" fontId="73" fillId="8" borderId="0" xfId="0" applyFont="1" applyFill="1" applyAlignment="1">
      <alignment horizontal="center"/>
    </xf>
    <xf numFmtId="0" fontId="60" fillId="2" borderId="0" xfId="0" applyFont="1" applyFill="1"/>
    <xf numFmtId="0" fontId="71" fillId="17" borderId="0" xfId="0" applyFont="1" applyFill="1"/>
    <xf numFmtId="165" fontId="60" fillId="0" borderId="0" xfId="0" applyNumberFormat="1" applyFont="1" applyAlignment="1">
      <alignment horizontal="right"/>
    </xf>
    <xf numFmtId="165" fontId="60" fillId="2" borderId="0" xfId="0" applyNumberFormat="1" applyFont="1" applyFill="1" applyAlignment="1">
      <alignment horizontal="right"/>
    </xf>
    <xf numFmtId="3" fontId="60" fillId="2" borderId="0" xfId="0" applyNumberFormat="1" applyFont="1" applyFill="1"/>
    <xf numFmtId="0" fontId="60" fillId="2" borderId="0" xfId="0" applyFont="1" applyFill="1" applyAlignment="1">
      <alignment horizontal="right"/>
    </xf>
    <xf numFmtId="2" fontId="60" fillId="2" borderId="0" xfId="0" applyNumberFormat="1" applyFont="1" applyFill="1" applyAlignment="1">
      <alignment horizontal="right"/>
    </xf>
    <xf numFmtId="0" fontId="7" fillId="2" borderId="0" xfId="0" applyFont="1" applyFill="1" applyAlignment="1">
      <alignment wrapText="1"/>
    </xf>
    <xf numFmtId="1" fontId="60" fillId="2" borderId="0" xfId="0" applyNumberFormat="1" applyFont="1" applyFill="1" applyAlignment="1">
      <alignment horizontal="right"/>
    </xf>
    <xf numFmtId="0" fontId="58" fillId="2" borderId="0" xfId="0" applyFont="1" applyFill="1"/>
    <xf numFmtId="3" fontId="58" fillId="2" borderId="0" xfId="0" applyNumberFormat="1" applyFont="1" applyFill="1" applyAlignment="1">
      <alignment horizontal="right"/>
    </xf>
    <xf numFmtId="165" fontId="58" fillId="2" borderId="0" xfId="10" applyNumberFormat="1" applyFont="1" applyFill="1" applyAlignment="1">
      <alignment horizontal="right"/>
    </xf>
    <xf numFmtId="3" fontId="60" fillId="2" borderId="0" xfId="0" applyNumberFormat="1" applyFont="1" applyFill="1" applyAlignment="1">
      <alignment horizontal="right"/>
    </xf>
    <xf numFmtId="165" fontId="60" fillId="2" borderId="0" xfId="10" applyNumberFormat="1" applyFont="1" applyFill="1" applyAlignment="1">
      <alignment horizontal="right"/>
    </xf>
    <xf numFmtId="3" fontId="60" fillId="0" borderId="0" xfId="0" applyNumberFormat="1" applyFont="1" applyAlignment="1">
      <alignment horizontal="right"/>
    </xf>
    <xf numFmtId="165" fontId="60" fillId="2" borderId="0" xfId="10" applyNumberFormat="1" applyFont="1" applyFill="1"/>
    <xf numFmtId="0" fontId="7" fillId="2" borderId="0" xfId="0" applyFont="1" applyFill="1" applyAlignment="1">
      <alignment vertical="center"/>
    </xf>
    <xf numFmtId="0" fontId="60" fillId="2" borderId="0" xfId="0" applyFont="1" applyFill="1" applyAlignment="1">
      <alignment vertical="center"/>
    </xf>
    <xf numFmtId="2" fontId="60" fillId="2" borderId="0" xfId="0" applyNumberFormat="1" applyFont="1" applyFill="1" applyAlignment="1">
      <alignment horizontal="right" vertical="center"/>
    </xf>
    <xf numFmtId="164" fontId="60" fillId="2" borderId="0" xfId="10" applyFont="1" applyFill="1" applyAlignment="1">
      <alignment horizontal="right"/>
    </xf>
    <xf numFmtId="0" fontId="60" fillId="2" borderId="0" xfId="0" applyFont="1" applyFill="1" applyAlignment="1">
      <alignment horizontal="right" vertical="center"/>
    </xf>
    <xf numFmtId="165" fontId="60" fillId="2" borderId="0" xfId="10" applyNumberFormat="1" applyFont="1" applyFill="1" applyAlignment="1">
      <alignment horizontal="right" vertical="center"/>
    </xf>
    <xf numFmtId="3" fontId="60" fillId="2" borderId="0" xfId="0" applyNumberFormat="1" applyFont="1" applyFill="1" applyAlignment="1">
      <alignment vertical="center"/>
    </xf>
    <xf numFmtId="165" fontId="60" fillId="2" borderId="0" xfId="10" applyNumberFormat="1" applyFont="1" applyFill="1" applyAlignment="1">
      <alignment vertical="center"/>
    </xf>
    <xf numFmtId="165" fontId="60" fillId="2" borderId="0" xfId="0" applyNumberFormat="1" applyFont="1" applyFill="1"/>
    <xf numFmtId="3" fontId="58" fillId="2" borderId="0" xfId="0" applyNumberFormat="1" applyFont="1" applyFill="1"/>
    <xf numFmtId="165" fontId="7" fillId="2" borderId="0" xfId="0" applyNumberFormat="1" applyFont="1" applyFill="1" applyAlignment="1">
      <alignment horizontal="right"/>
    </xf>
    <xf numFmtId="170" fontId="60" fillId="2" borderId="0" xfId="0" applyNumberFormat="1" applyFont="1" applyFill="1"/>
    <xf numFmtId="2" fontId="60" fillId="2" borderId="0" xfId="0" applyNumberFormat="1" applyFont="1" applyFill="1"/>
    <xf numFmtId="0" fontId="55" fillId="15" borderId="0" xfId="0" applyFont="1" applyFill="1"/>
    <xf numFmtId="0" fontId="57" fillId="15" borderId="0" xfId="0" applyFont="1" applyFill="1"/>
    <xf numFmtId="9" fontId="60" fillId="2" borderId="0" xfId="0" applyNumberFormat="1" applyFont="1" applyFill="1"/>
    <xf numFmtId="9" fontId="7" fillId="2" borderId="0" xfId="11" applyFont="1" applyFill="1"/>
    <xf numFmtId="9" fontId="60" fillId="2" borderId="0" xfId="11" applyFont="1" applyFill="1"/>
    <xf numFmtId="9" fontId="48" fillId="2" borderId="0" xfId="11" applyFont="1" applyFill="1"/>
    <xf numFmtId="0" fontId="71" fillId="2" borderId="0" xfId="0" applyFont="1" applyFill="1"/>
    <xf numFmtId="0" fontId="8" fillId="2" borderId="0" xfId="0" applyFont="1" applyFill="1"/>
    <xf numFmtId="9" fontId="60" fillId="0" borderId="0" xfId="0" applyNumberFormat="1" applyFont="1"/>
    <xf numFmtId="0" fontId="48" fillId="2" borderId="0" xfId="0" applyFont="1" applyFill="1"/>
    <xf numFmtId="0" fontId="48" fillId="2" borderId="0" xfId="0" applyFont="1" applyFill="1" applyAlignment="1">
      <alignment horizontal="right"/>
    </xf>
    <xf numFmtId="0" fontId="74" fillId="2" borderId="0" xfId="0" applyFont="1" applyFill="1"/>
    <xf numFmtId="168" fontId="60" fillId="2" borderId="0" xfId="3" applyNumberFormat="1" applyFont="1" applyFill="1" applyAlignment="1">
      <alignment horizontal="right"/>
    </xf>
    <xf numFmtId="0" fontId="24" fillId="2" borderId="0" xfId="0" applyFont="1" applyFill="1" applyAlignment="1">
      <alignment horizontal="right"/>
    </xf>
    <xf numFmtId="0" fontId="8" fillId="2" borderId="0" xfId="0" applyFont="1" applyFill="1" applyAlignment="1">
      <alignment horizontal="right" vertical="top"/>
    </xf>
    <xf numFmtId="0" fontId="4" fillId="2" borderId="0" xfId="0" applyFont="1" applyFill="1"/>
    <xf numFmtId="0" fontId="55" fillId="7" borderId="0" xfId="0" applyFont="1" applyFill="1"/>
    <xf numFmtId="0" fontId="57" fillId="14" borderId="21" xfId="0" applyFont="1" applyFill="1" applyBorder="1" applyAlignment="1">
      <alignment horizontal="center" vertical="center"/>
    </xf>
    <xf numFmtId="0" fontId="57" fillId="14" borderId="0" xfId="0" applyFont="1" applyFill="1" applyAlignment="1">
      <alignment horizontal="center" vertical="center"/>
    </xf>
    <xf numFmtId="0" fontId="7" fillId="0" borderId="0" xfId="0" applyFont="1" applyAlignment="1">
      <alignment vertical="top"/>
    </xf>
    <xf numFmtId="0" fontId="7" fillId="0" borderId="0" xfId="0" applyFont="1" applyAlignment="1">
      <alignment horizontal="center" vertical="top" wrapText="1"/>
    </xf>
    <xf numFmtId="0" fontId="7" fillId="16" borderId="0" xfId="0" applyFont="1" applyFill="1" applyAlignment="1">
      <alignment vertical="top" wrapText="1"/>
    </xf>
    <xf numFmtId="0" fontId="7" fillId="15" borderId="0" xfId="0" applyFont="1" applyFill="1" applyAlignment="1">
      <alignment horizontal="center" vertical="center" wrapText="1"/>
    </xf>
    <xf numFmtId="0" fontId="57" fillId="14" borderId="21" xfId="0" applyFont="1" applyFill="1" applyBorder="1" applyAlignment="1">
      <alignment horizontal="center" vertical="center" wrapText="1"/>
    </xf>
    <xf numFmtId="0" fontId="57" fillId="14" borderId="0" xfId="0" applyFont="1" applyFill="1" applyAlignment="1">
      <alignment horizontal="center" vertical="center" wrapText="1"/>
    </xf>
    <xf numFmtId="165" fontId="7" fillId="0" borderId="0" xfId="3" applyNumberFormat="1" applyFont="1" applyFill="1" applyBorder="1" applyAlignment="1">
      <alignment vertical="top" wrapText="1"/>
    </xf>
    <xf numFmtId="165" fontId="7" fillId="0" borderId="0" xfId="3" applyNumberFormat="1" applyFont="1" applyFill="1" applyBorder="1" applyAlignment="1">
      <alignment horizontal="center" vertical="top" wrapText="1"/>
    </xf>
    <xf numFmtId="9" fontId="7" fillId="0" borderId="0" xfId="1" applyFont="1" applyFill="1" applyAlignment="1">
      <alignment horizontal="center" vertical="top" wrapText="1"/>
    </xf>
    <xf numFmtId="1" fontId="7" fillId="0" borderId="0" xfId="0" applyNumberFormat="1" applyFont="1" applyAlignment="1">
      <alignment horizontal="center" vertical="top" wrapText="1"/>
    </xf>
    <xf numFmtId="169" fontId="7" fillId="0" borderId="0" xfId="0" applyNumberFormat="1" applyFont="1" applyAlignment="1">
      <alignment horizontal="center" vertical="top" wrapText="1"/>
    </xf>
    <xf numFmtId="9" fontId="7" fillId="0" borderId="0" xfId="0" applyNumberFormat="1" applyFont="1" applyAlignment="1">
      <alignment horizontal="center" vertical="top" wrapText="1"/>
    </xf>
    <xf numFmtId="0" fontId="7" fillId="8" borderId="0" xfId="0" applyFont="1" applyFill="1" applyAlignment="1">
      <alignment horizontal="center"/>
    </xf>
    <xf numFmtId="0" fontId="55" fillId="9" borderId="2" xfId="0" applyFont="1" applyFill="1" applyBorder="1" applyAlignment="1">
      <alignment horizontal="center"/>
    </xf>
    <xf numFmtId="0" fontId="55" fillId="9" borderId="6" xfId="0" applyFont="1" applyFill="1" applyBorder="1" applyAlignment="1">
      <alignment horizontal="center"/>
    </xf>
    <xf numFmtId="0" fontId="55" fillId="9" borderId="3" xfId="0" applyFont="1" applyFill="1" applyBorder="1" applyAlignment="1">
      <alignment horizontal="center"/>
    </xf>
    <xf numFmtId="9" fontId="48" fillId="0" borderId="0" xfId="1" applyFont="1" applyFill="1"/>
    <xf numFmtId="0" fontId="8" fillId="0" borderId="0" xfId="0" applyFont="1" applyAlignment="1">
      <alignment horizontal="right" vertical="top"/>
    </xf>
    <xf numFmtId="0" fontId="24" fillId="0" borderId="0" xfId="0" applyFont="1" applyAlignment="1">
      <alignment horizontal="right"/>
    </xf>
    <xf numFmtId="0" fontId="7" fillId="8" borderId="0" xfId="0" applyFont="1" applyFill="1" applyAlignment="1">
      <alignment horizontal="center" vertical="top" wrapText="1"/>
    </xf>
    <xf numFmtId="0" fontId="8" fillId="0" borderId="0" xfId="0" quotePrefix="1" applyFont="1" applyAlignment="1">
      <alignment horizontal="left" vertical="top" wrapText="1"/>
    </xf>
    <xf numFmtId="0" fontId="8" fillId="0" borderId="27" xfId="0" quotePrefix="1" applyFont="1" applyBorder="1" applyAlignment="1" applyProtection="1">
      <alignment horizontal="left" vertical="top" wrapText="1"/>
      <protection locked="0"/>
    </xf>
    <xf numFmtId="0" fontId="7" fillId="8" borderId="0" xfId="0" applyFont="1" applyFill="1" applyAlignment="1">
      <alignment horizontal="center" wrapText="1"/>
    </xf>
    <xf numFmtId="0" fontId="55" fillId="9" borderId="2" xfId="0" applyFont="1" applyFill="1" applyBorder="1" applyAlignment="1">
      <alignment horizontal="center" vertical="center"/>
    </xf>
    <xf numFmtId="0" fontId="55" fillId="9" borderId="0" xfId="0" applyFont="1" applyFill="1" applyAlignment="1">
      <alignment horizontal="center"/>
    </xf>
    <xf numFmtId="0" fontId="7" fillId="0" borderId="0" xfId="0" applyFont="1" applyAlignment="1">
      <alignment wrapText="1"/>
    </xf>
    <xf numFmtId="0" fontId="8" fillId="0" borderId="0" xfId="0" applyFont="1" applyAlignment="1">
      <alignment wrapText="1"/>
    </xf>
    <xf numFmtId="0" fontId="55" fillId="9" borderId="0" xfId="0" applyFont="1" applyFill="1" applyAlignment="1">
      <alignment horizontal="center" vertical="center"/>
    </xf>
    <xf numFmtId="0" fontId="55" fillId="9" borderId="2" xfId="0" applyFont="1" applyFill="1" applyBorder="1" applyAlignment="1">
      <alignment horizontal="center" vertical="center" wrapText="1"/>
    </xf>
    <xf numFmtId="0" fontId="55" fillId="9" borderId="0" xfId="0" applyFont="1" applyFill="1" applyAlignment="1">
      <alignment horizontal="center" vertical="center" wrapText="1"/>
    </xf>
    <xf numFmtId="0" fontId="48" fillId="2" borderId="0" xfId="2" applyFont="1" applyFill="1" applyAlignment="1">
      <alignment wrapText="1"/>
    </xf>
    <xf numFmtId="0" fontId="75" fillId="16" borderId="0" xfId="0" applyFont="1" applyFill="1" applyAlignment="1">
      <alignment horizontal="left" vertical="center" wrapText="1"/>
    </xf>
    <xf numFmtId="0" fontId="48" fillId="0" borderId="0" xfId="0" applyFont="1" applyAlignment="1">
      <alignment horizontal="left" wrapText="1"/>
    </xf>
    <xf numFmtId="168" fontId="48" fillId="0" borderId="0" xfId="3" applyNumberFormat="1" applyFont="1" applyFill="1" applyBorder="1"/>
    <xf numFmtId="168" fontId="48" fillId="0" borderId="0" xfId="0" applyNumberFormat="1" applyFont="1"/>
    <xf numFmtId="9" fontId="48" fillId="0" borderId="0" xfId="0" applyNumberFormat="1" applyFont="1"/>
    <xf numFmtId="0" fontId="59" fillId="0" borderId="0" xfId="0" applyFont="1" applyAlignment="1">
      <alignment horizontal="left" wrapText="1"/>
    </xf>
    <xf numFmtId="0" fontId="7" fillId="0" borderId="0" xfId="0" applyFont="1" applyAlignment="1">
      <alignment horizontal="left" wrapText="1"/>
    </xf>
    <xf numFmtId="0" fontId="48" fillId="0" borderId="0" xfId="0" applyFont="1" applyAlignment="1">
      <alignment horizontal="center" vertical="top"/>
    </xf>
    <xf numFmtId="9" fontId="48" fillId="0" borderId="0" xfId="1" applyFont="1" applyFill="1" applyAlignment="1">
      <alignment horizontal="center" vertical="top"/>
    </xf>
    <xf numFmtId="0" fontId="39" fillId="0" borderId="55" xfId="0" applyFont="1" applyBorder="1" applyAlignment="1">
      <alignment vertical="top" wrapText="1"/>
    </xf>
    <xf numFmtId="0" fontId="45" fillId="0" borderId="55" xfId="0" applyFont="1" applyBorder="1" applyAlignment="1">
      <alignment vertical="top" wrapText="1"/>
    </xf>
    <xf numFmtId="0" fontId="31" fillId="2" borderId="0" xfId="0" applyFont="1" applyFill="1" applyAlignment="1">
      <alignment vertical="top"/>
    </xf>
    <xf numFmtId="0" fontId="32" fillId="2" borderId="0" xfId="0" applyFont="1" applyFill="1" applyAlignment="1">
      <alignment vertical="top"/>
    </xf>
    <xf numFmtId="0" fontId="56" fillId="0" borderId="55" xfId="0" applyFont="1" applyBorder="1" applyAlignment="1">
      <alignment vertical="top" wrapText="1"/>
    </xf>
    <xf numFmtId="0" fontId="45" fillId="0" borderId="55" xfId="0" applyFont="1" applyBorder="1" applyAlignment="1">
      <alignment horizontal="center" vertical="top"/>
    </xf>
    <xf numFmtId="0" fontId="56" fillId="0" borderId="55" xfId="0" applyFont="1" applyBorder="1" applyAlignment="1">
      <alignment vertical="top"/>
    </xf>
    <xf numFmtId="0" fontId="56" fillId="0" borderId="55" xfId="0" applyFont="1" applyBorder="1" applyAlignment="1">
      <alignment horizontal="center" vertical="top"/>
    </xf>
    <xf numFmtId="0" fontId="30" fillId="2" borderId="0" xfId="0" applyFont="1" applyFill="1" applyAlignment="1">
      <alignment vertical="top"/>
    </xf>
    <xf numFmtId="0" fontId="31" fillId="2" borderId="0" xfId="0" applyFont="1" applyFill="1" applyAlignment="1">
      <alignment horizontal="left" vertical="top"/>
    </xf>
    <xf numFmtId="0" fontId="56" fillId="2" borderId="55" xfId="0" applyFont="1" applyFill="1" applyBorder="1" applyAlignment="1">
      <alignment vertical="top" wrapText="1"/>
    </xf>
    <xf numFmtId="0" fontId="45" fillId="2" borderId="55" xfId="0" applyFont="1" applyFill="1" applyBorder="1" applyAlignment="1">
      <alignment vertical="top" wrapText="1"/>
    </xf>
    <xf numFmtId="0" fontId="56" fillId="2" borderId="55" xfId="0" applyFont="1" applyFill="1" applyBorder="1" applyAlignment="1">
      <alignment vertical="top"/>
    </xf>
    <xf numFmtId="0" fontId="44" fillId="10" borderId="55" xfId="0" applyFont="1" applyFill="1" applyBorder="1" applyAlignment="1">
      <alignment vertical="top" wrapText="1"/>
    </xf>
    <xf numFmtId="0" fontId="45" fillId="0" borderId="55" xfId="0" applyFont="1" applyBorder="1" applyAlignment="1">
      <alignment horizontal="center" vertical="top" wrapText="1"/>
    </xf>
    <xf numFmtId="0" fontId="58" fillId="0" borderId="0" xfId="0" applyFont="1" applyAlignment="1">
      <alignment vertical="top" wrapText="1"/>
    </xf>
    <xf numFmtId="0" fontId="8" fillId="0" borderId="17" xfId="0" applyFont="1" applyBorder="1" applyAlignment="1">
      <alignment vertical="top" wrapText="1"/>
    </xf>
    <xf numFmtId="0" fontId="8" fillId="0" borderId="0" xfId="0" applyFont="1" applyAlignment="1">
      <alignment horizontal="left" wrapText="1"/>
    </xf>
    <xf numFmtId="0" fontId="57" fillId="14" borderId="0" xfId="0" applyFont="1" applyFill="1" applyAlignment="1">
      <alignment horizontal="center"/>
    </xf>
    <xf numFmtId="0" fontId="58" fillId="0" borderId="0" xfId="0" applyFont="1" applyAlignment="1">
      <alignment horizontal="left" wrapText="1"/>
    </xf>
    <xf numFmtId="168" fontId="7" fillId="0" borderId="0" xfId="0" applyNumberFormat="1" applyFont="1"/>
    <xf numFmtId="0" fontId="57" fillId="14" borderId="24" xfId="0" applyFont="1" applyFill="1" applyBorder="1" applyAlignment="1">
      <alignment horizontal="center" vertical="center"/>
    </xf>
    <xf numFmtId="0" fontId="57" fillId="15" borderId="0" xfId="0" applyFont="1" applyFill="1" applyAlignment="1">
      <alignment horizontal="center" vertical="center" wrapText="1"/>
    </xf>
    <xf numFmtId="0" fontId="19" fillId="0" borderId="0" xfId="0" applyFont="1" applyAlignment="1">
      <alignment horizontal="center" vertical="center"/>
    </xf>
    <xf numFmtId="0" fontId="55" fillId="8" borderId="0" xfId="0" applyFont="1" applyFill="1" applyAlignment="1">
      <alignment horizontal="center" vertical="center"/>
    </xf>
    <xf numFmtId="168" fontId="60" fillId="0" borderId="0" xfId="5" applyNumberFormat="1" applyFont="1" applyFill="1" applyBorder="1" applyAlignment="1">
      <alignment horizontal="center" vertical="center"/>
    </xf>
    <xf numFmtId="168" fontId="7" fillId="0" borderId="0" xfId="3" applyNumberFormat="1" applyFont="1"/>
    <xf numFmtId="0" fontId="7" fillId="0" borderId="0" xfId="0" applyFont="1" applyAlignment="1">
      <alignment horizontal="right" vertical="center"/>
    </xf>
    <xf numFmtId="9" fontId="7" fillId="0" borderId="0" xfId="0" applyNumberFormat="1" applyFont="1" applyAlignment="1">
      <alignment horizontal="right" vertical="center"/>
    </xf>
    <xf numFmtId="0" fontId="8" fillId="0" borderId="0" xfId="0" applyFont="1" applyAlignment="1">
      <alignment horizontal="right"/>
    </xf>
    <xf numFmtId="0" fontId="55" fillId="8" borderId="18" xfId="0" applyFont="1" applyFill="1" applyBorder="1" applyAlignment="1">
      <alignment horizontal="center" vertical="center" wrapText="1"/>
    </xf>
    <xf numFmtId="165" fontId="7" fillId="2" borderId="18" xfId="0" applyNumberFormat="1" applyFont="1" applyFill="1" applyBorder="1"/>
    <xf numFmtId="165" fontId="48" fillId="2" borderId="18" xfId="0" applyNumberFormat="1" applyFont="1" applyFill="1" applyBorder="1" applyAlignment="1">
      <alignment horizontal="right" wrapText="1"/>
    </xf>
    <xf numFmtId="165" fontId="48" fillId="2" borderId="19" xfId="0" applyNumberFormat="1" applyFont="1" applyFill="1" applyBorder="1" applyAlignment="1">
      <alignment horizontal="right"/>
    </xf>
    <xf numFmtId="165" fontId="7" fillId="2" borderId="18" xfId="0" applyNumberFormat="1" applyFont="1" applyFill="1" applyBorder="1" applyAlignment="1">
      <alignment vertical="center" wrapText="1"/>
    </xf>
    <xf numFmtId="1" fontId="48" fillId="2" borderId="18" xfId="0" applyNumberFormat="1" applyFont="1" applyFill="1" applyBorder="1" applyAlignment="1">
      <alignment horizontal="right" wrapText="1"/>
    </xf>
    <xf numFmtId="0" fontId="8" fillId="2" borderId="17" xfId="0" applyFont="1" applyFill="1" applyBorder="1" applyAlignment="1">
      <alignment wrapText="1"/>
    </xf>
    <xf numFmtId="3" fontId="8" fillId="2" borderId="18" xfId="0" applyNumberFormat="1" applyFont="1" applyFill="1" applyBorder="1"/>
    <xf numFmtId="165" fontId="59" fillId="2" borderId="18" xfId="0" applyNumberFormat="1" applyFont="1" applyFill="1" applyBorder="1" applyAlignment="1">
      <alignment horizontal="right" wrapText="1"/>
    </xf>
    <xf numFmtId="165" fontId="59" fillId="0" borderId="18" xfId="0" applyNumberFormat="1" applyFont="1" applyBorder="1" applyAlignment="1">
      <alignment horizontal="right" wrapText="1"/>
    </xf>
    <xf numFmtId="165" fontId="59" fillId="2" borderId="19" xfId="0" applyNumberFormat="1" applyFont="1" applyFill="1" applyBorder="1" applyAlignment="1">
      <alignment horizontal="right" wrapText="1"/>
    </xf>
    <xf numFmtId="0" fontId="8" fillId="2" borderId="17" xfId="0" applyFont="1" applyFill="1" applyBorder="1" applyAlignment="1">
      <alignment vertical="center" wrapText="1"/>
    </xf>
    <xf numFmtId="0" fontId="59" fillId="0" borderId="0" xfId="0" applyFont="1" applyAlignment="1">
      <alignment horizontal="left" vertical="top" wrapText="1"/>
    </xf>
    <xf numFmtId="0" fontId="8" fillId="0" borderId="0" xfId="0" applyFont="1" applyAlignment="1">
      <alignment horizontal="right" vertical="center"/>
    </xf>
    <xf numFmtId="9" fontId="60" fillId="0" borderId="0" xfId="0" applyNumberFormat="1" applyFont="1" applyAlignment="1">
      <alignment vertical="top" wrapText="1"/>
    </xf>
    <xf numFmtId="9" fontId="60" fillId="0" borderId="0" xfId="0" applyNumberFormat="1" applyFont="1" applyAlignment="1">
      <alignment vertical="top"/>
    </xf>
    <xf numFmtId="0" fontId="60" fillId="0" borderId="0" xfId="0" applyFont="1" applyAlignment="1">
      <alignment vertical="top"/>
    </xf>
    <xf numFmtId="0" fontId="8" fillId="0" borderId="0" xfId="0" applyFont="1" applyAlignment="1">
      <alignment horizontal="left" vertical="top" wrapText="1" indent="2"/>
    </xf>
    <xf numFmtId="0" fontId="8" fillId="0" borderId="0" xfId="0" applyFont="1" applyAlignment="1">
      <alignment horizontal="left" indent="2"/>
    </xf>
    <xf numFmtId="0" fontId="60" fillId="0" borderId="0" xfId="0" applyFont="1" applyAlignment="1">
      <alignment horizontal="center"/>
    </xf>
    <xf numFmtId="9" fontId="7" fillId="0" borderId="0" xfId="0" applyNumberFormat="1" applyFont="1" applyAlignment="1">
      <alignment horizontal="center"/>
    </xf>
    <xf numFmtId="0" fontId="57" fillId="15" borderId="0" xfId="0" applyFont="1" applyFill="1" applyAlignment="1">
      <alignment horizontal="center"/>
    </xf>
    <xf numFmtId="0" fontId="58" fillId="0" borderId="0" xfId="0" applyFont="1" applyAlignment="1">
      <alignment horizontal="left" vertical="top" wrapText="1"/>
    </xf>
    <xf numFmtId="0" fontId="58" fillId="0" borderId="0" xfId="0" applyFont="1"/>
    <xf numFmtId="0" fontId="58" fillId="0" borderId="0" xfId="0" applyFont="1" applyAlignment="1">
      <alignment vertical="top"/>
    </xf>
    <xf numFmtId="0" fontId="59" fillId="0" borderId="0" xfId="0" applyFont="1" applyAlignment="1">
      <alignment horizontal="left"/>
    </xf>
    <xf numFmtId="0" fontId="55" fillId="8" borderId="1" xfId="0" applyFont="1" applyFill="1" applyBorder="1" applyAlignment="1">
      <alignment horizontal="center"/>
    </xf>
    <xf numFmtId="0" fontId="55" fillId="8" borderId="2" xfId="0" applyFont="1" applyFill="1" applyBorder="1" applyAlignment="1">
      <alignment horizontal="center"/>
    </xf>
    <xf numFmtId="0" fontId="59" fillId="0" borderId="0" xfId="0" applyFont="1" applyAlignment="1">
      <alignment wrapText="1"/>
    </xf>
    <xf numFmtId="0" fontId="55" fillId="0" borderId="0" xfId="0" applyFont="1"/>
    <xf numFmtId="0" fontId="8" fillId="0" borderId="0" xfId="0" applyFont="1" applyAlignment="1">
      <alignment horizontal="left" wrapText="1" indent="2"/>
    </xf>
    <xf numFmtId="0" fontId="55" fillId="8" borderId="0" xfId="0" applyFont="1" applyFill="1" applyAlignment="1">
      <alignment horizontal="center"/>
    </xf>
    <xf numFmtId="0" fontId="8" fillId="0" borderId="0" xfId="0" applyFont="1" applyAlignment="1">
      <alignment horizontal="left"/>
    </xf>
    <xf numFmtId="0" fontId="55" fillId="17" borderId="17" xfId="0" applyFont="1" applyFill="1" applyBorder="1" applyAlignment="1">
      <alignment horizontal="left" vertical="top" wrapText="1"/>
    </xf>
    <xf numFmtId="0" fontId="8" fillId="0" borderId="0" xfId="0" applyFont="1" applyAlignment="1">
      <alignment vertical="center"/>
    </xf>
    <xf numFmtId="0" fontId="16" fillId="0" borderId="0" xfId="0" applyFont="1" applyAlignment="1">
      <alignment wrapText="1"/>
    </xf>
    <xf numFmtId="0" fontId="8" fillId="0" borderId="0" xfId="0" applyFont="1" applyAlignment="1">
      <alignment horizontal="center"/>
    </xf>
    <xf numFmtId="0" fontId="8" fillId="8" borderId="0" xfId="0" applyFont="1" applyFill="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8" fillId="0" borderId="26" xfId="0" applyFont="1" applyBorder="1"/>
    <xf numFmtId="0" fontId="8" fillId="0" borderId="39" xfId="0" applyFont="1" applyBorder="1"/>
    <xf numFmtId="0" fontId="8" fillId="0" borderId="48" xfId="0" applyFont="1" applyBorder="1"/>
    <xf numFmtId="0" fontId="59" fillId="0" borderId="0" xfId="0" applyFont="1"/>
    <xf numFmtId="0" fontId="71" fillId="8" borderId="0" xfId="0" applyFont="1" applyFill="1" applyAlignment="1">
      <alignment horizontal="center" vertical="center"/>
    </xf>
    <xf numFmtId="0" fontId="71" fillId="8" borderId="0" xfId="3" applyNumberFormat="1" applyFont="1" applyFill="1" applyAlignment="1">
      <alignment horizontal="center" vertical="center"/>
    </xf>
    <xf numFmtId="49" fontId="71" fillId="8" borderId="0" xfId="0" applyNumberFormat="1" applyFont="1" applyFill="1" applyAlignment="1">
      <alignment horizontal="center" vertical="center"/>
    </xf>
    <xf numFmtId="0" fontId="7" fillId="8" borderId="0" xfId="0" applyFont="1" applyFill="1" applyAlignment="1">
      <alignment horizontal="center" vertical="top"/>
    </xf>
    <xf numFmtId="0" fontId="71" fillId="8" borderId="0" xfId="0" applyFont="1" applyFill="1" applyAlignment="1">
      <alignment horizontal="center" vertical="top"/>
    </xf>
    <xf numFmtId="0" fontId="71" fillId="8" borderId="0" xfId="3" applyNumberFormat="1" applyFont="1" applyFill="1" applyAlignment="1">
      <alignment horizontal="center" vertical="top"/>
    </xf>
    <xf numFmtId="49" fontId="7" fillId="8" borderId="0" xfId="0" applyNumberFormat="1" applyFont="1" applyFill="1" applyAlignment="1">
      <alignment horizontal="center" vertical="top"/>
    </xf>
    <xf numFmtId="0" fontId="7" fillId="0" borderId="18" xfId="0" applyFont="1" applyBorder="1"/>
    <xf numFmtId="0" fontId="7" fillId="0" borderId="29" xfId="0" applyFont="1" applyBorder="1"/>
    <xf numFmtId="0" fontId="8" fillId="0" borderId="18" xfId="0" applyFont="1" applyBorder="1" applyAlignment="1">
      <alignment wrapText="1"/>
    </xf>
    <xf numFmtId="0" fontId="8" fillId="0" borderId="18" xfId="0" applyFont="1" applyBorder="1" applyAlignment="1">
      <alignment horizontal="left" wrapText="1"/>
    </xf>
    <xf numFmtId="0" fontId="8" fillId="8" borderId="27" xfId="0" applyFont="1" applyFill="1" applyBorder="1" applyAlignment="1">
      <alignment horizontal="center" vertical="center" wrapText="1"/>
    </xf>
    <xf numFmtId="0" fontId="8" fillId="0" borderId="18" xfId="0" applyFont="1" applyBorder="1" applyAlignment="1">
      <alignment horizontal="left" wrapText="1" indent="2"/>
    </xf>
    <xf numFmtId="0" fontId="8" fillId="0" borderId="18" xfId="0" applyFont="1" applyBorder="1" applyAlignment="1">
      <alignment horizontal="left" wrapText="1" indent="3"/>
    </xf>
    <xf numFmtId="0" fontId="8" fillId="0" borderId="29" xfId="0" applyFont="1" applyBorder="1" applyAlignment="1">
      <alignment horizontal="left" wrapText="1" indent="2"/>
    </xf>
    <xf numFmtId="49" fontId="55" fillId="8" borderId="3" xfId="0" applyNumberFormat="1" applyFont="1" applyFill="1" applyBorder="1" applyAlignment="1">
      <alignment horizontal="center" vertical="center"/>
    </xf>
    <xf numFmtId="0" fontId="55" fillId="8" borderId="10" xfId="0" applyFont="1" applyFill="1" applyBorder="1" applyAlignment="1">
      <alignment horizontal="center" vertical="center"/>
    </xf>
    <xf numFmtId="49" fontId="55" fillId="8" borderId="0" xfId="0" applyNumberFormat="1" applyFont="1" applyFill="1" applyAlignment="1">
      <alignment horizontal="center" vertical="center"/>
    </xf>
    <xf numFmtId="0" fontId="8" fillId="0" borderId="2" xfId="0" applyFont="1" applyBorder="1" applyAlignment="1">
      <alignment horizontal="left" vertical="top" wrapText="1"/>
    </xf>
    <xf numFmtId="0" fontId="59" fillId="0" borderId="2" xfId="0" applyFont="1" applyBorder="1" applyAlignment="1">
      <alignment horizontal="left" vertical="top" wrapText="1"/>
    </xf>
    <xf numFmtId="0" fontId="8" fillId="0" borderId="2" xfId="0" applyFont="1" applyBorder="1" applyAlignment="1">
      <alignment horizontal="left" vertical="top" wrapText="1" indent="2"/>
    </xf>
    <xf numFmtId="49" fontId="55" fillId="9" borderId="0" xfId="0" applyNumberFormat="1" applyFont="1" applyFill="1" applyAlignment="1">
      <alignment horizontal="center" vertical="center"/>
    </xf>
    <xf numFmtId="0" fontId="57" fillId="8" borderId="20" xfId="0" applyFont="1" applyFill="1" applyBorder="1" applyAlignment="1">
      <alignment horizontal="center" vertical="center" wrapText="1"/>
    </xf>
    <xf numFmtId="0" fontId="57" fillId="8" borderId="21" xfId="0" applyFont="1" applyFill="1" applyBorder="1" applyAlignment="1">
      <alignment horizontal="center" vertical="center"/>
    </xf>
    <xf numFmtId="0" fontId="55" fillId="8" borderId="21" xfId="0" applyFont="1" applyFill="1" applyBorder="1" applyAlignment="1">
      <alignment horizontal="center" vertical="center"/>
    </xf>
    <xf numFmtId="0" fontId="55" fillId="8" borderId="21" xfId="3" applyNumberFormat="1" applyFont="1" applyFill="1" applyBorder="1" applyAlignment="1">
      <alignment horizontal="center" vertical="center"/>
    </xf>
    <xf numFmtId="0" fontId="8" fillId="0" borderId="0" xfId="0" applyFont="1" applyAlignment="1">
      <alignment vertical="top"/>
    </xf>
    <xf numFmtId="49" fontId="55" fillId="9" borderId="3" xfId="3" applyNumberFormat="1" applyFont="1" applyFill="1" applyBorder="1" applyAlignment="1">
      <alignment horizontal="center" vertical="center" wrapText="1"/>
    </xf>
    <xf numFmtId="0" fontId="8" fillId="6" borderId="0" xfId="0" applyFont="1" applyFill="1" applyAlignment="1">
      <alignment wrapText="1"/>
    </xf>
    <xf numFmtId="0" fontId="7" fillId="0" borderId="0" xfId="0" applyFont="1" applyAlignment="1">
      <alignment horizontal="right" vertical="top" wrapText="1"/>
    </xf>
    <xf numFmtId="0" fontId="77" fillId="0" borderId="0" xfId="0" applyFont="1" applyAlignment="1">
      <alignment wrapText="1"/>
    </xf>
    <xf numFmtId="1" fontId="7" fillId="0" borderId="0" xfId="0" applyNumberFormat="1" applyFont="1" applyAlignment="1">
      <alignment horizontal="right" vertical="top" wrapText="1"/>
    </xf>
    <xf numFmtId="168" fontId="7" fillId="0" borderId="0" xfId="3" applyNumberFormat="1" applyFont="1" applyAlignment="1">
      <alignment vertical="top" wrapText="1"/>
    </xf>
    <xf numFmtId="2" fontId="7" fillId="0" borderId="0" xfId="0" applyNumberFormat="1" applyFont="1" applyAlignment="1">
      <alignment vertical="top" wrapText="1"/>
    </xf>
    <xf numFmtId="1" fontId="7" fillId="0" borderId="0" xfId="0" applyNumberFormat="1" applyFont="1" applyAlignment="1">
      <alignment vertical="top"/>
    </xf>
    <xf numFmtId="0" fontId="37" fillId="18" borderId="17" xfId="0" applyFont="1" applyFill="1" applyBorder="1" applyAlignment="1">
      <alignment horizontal="center" vertical="center" wrapText="1"/>
    </xf>
    <xf numFmtId="0" fontId="37" fillId="18" borderId="18" xfId="0" applyFont="1" applyFill="1" applyBorder="1" applyAlignment="1">
      <alignment horizontal="center" vertical="center" wrapText="1"/>
    </xf>
    <xf numFmtId="0" fontId="37" fillId="18" borderId="19" xfId="0" applyFont="1" applyFill="1" applyBorder="1" applyAlignment="1">
      <alignment horizontal="center" vertical="center" wrapText="1"/>
    </xf>
    <xf numFmtId="0" fontId="38" fillId="0" borderId="26" xfId="0" applyFont="1" applyBorder="1" applyAlignment="1">
      <alignment wrapText="1"/>
    </xf>
    <xf numFmtId="0" fontId="65" fillId="0" borderId="17" xfId="0" applyFont="1" applyBorder="1" applyAlignment="1">
      <alignment wrapText="1"/>
    </xf>
    <xf numFmtId="0" fontId="65" fillId="0" borderId="49" xfId="0" applyFont="1" applyBorder="1" applyAlignment="1">
      <alignment wrapText="1"/>
    </xf>
    <xf numFmtId="9" fontId="37" fillId="14" borderId="21" xfId="0" applyNumberFormat="1" applyFont="1" applyFill="1" applyBorder="1" applyAlignment="1">
      <alignment horizontal="center" vertical="center"/>
    </xf>
    <xf numFmtId="171" fontId="37" fillId="14" borderId="22" xfId="0" applyNumberFormat="1" applyFont="1" applyFill="1" applyBorder="1" applyAlignment="1">
      <alignment horizontal="center" vertical="center"/>
    </xf>
    <xf numFmtId="172" fontId="39" fillId="0" borderId="21" xfId="1" applyNumberFormat="1" applyFont="1" applyFill="1" applyBorder="1" applyAlignment="1">
      <alignment vertical="top"/>
    </xf>
    <xf numFmtId="172" fontId="39" fillId="0" borderId="22" xfId="1" applyNumberFormat="1" applyFont="1" applyFill="1" applyBorder="1" applyAlignment="1">
      <alignment vertical="top"/>
    </xf>
    <xf numFmtId="9" fontId="39" fillId="0" borderId="21" xfId="1" applyFont="1" applyFill="1" applyBorder="1" applyAlignment="1">
      <alignment vertical="top"/>
    </xf>
    <xf numFmtId="9" fontId="39" fillId="0" borderId="22" xfId="1" applyFont="1" applyFill="1" applyBorder="1" applyAlignment="1">
      <alignment vertical="top"/>
    </xf>
    <xf numFmtId="0" fontId="38" fillId="0" borderId="20" xfId="0" applyFont="1" applyBorder="1" applyAlignment="1">
      <alignment wrapText="1"/>
    </xf>
    <xf numFmtId="0" fontId="55" fillId="9" borderId="0" xfId="0" applyFont="1" applyFill="1" applyAlignment="1">
      <alignment horizontal="center" wrapText="1"/>
    </xf>
    <xf numFmtId="0" fontId="37" fillId="14" borderId="20" xfId="0" applyFont="1" applyFill="1" applyBorder="1" applyAlignment="1">
      <alignment horizontal="center" vertical="center" wrapText="1"/>
    </xf>
    <xf numFmtId="0" fontId="55" fillId="0" borderId="0" xfId="0" applyFont="1" applyAlignment="1">
      <alignment vertical="top" wrapText="1"/>
    </xf>
    <xf numFmtId="165" fontId="7" fillId="0" borderId="0" xfId="0" applyNumberFormat="1" applyFont="1"/>
    <xf numFmtId="0" fontId="55" fillId="8" borderId="2" xfId="0" applyFont="1" applyFill="1" applyBorder="1" applyAlignment="1">
      <alignment horizontal="center" vertical="center"/>
    </xf>
    <xf numFmtId="0" fontId="4" fillId="0" borderId="0" xfId="0" applyFont="1" applyAlignment="1">
      <alignment vertical="center"/>
    </xf>
    <xf numFmtId="0" fontId="8" fillId="6" borderId="0" xfId="0" applyFont="1" applyFill="1" applyAlignment="1">
      <alignment vertical="top" wrapText="1"/>
    </xf>
    <xf numFmtId="0" fontId="8" fillId="0" borderId="0" xfId="0" applyFont="1" applyAlignment="1">
      <alignment horizontal="left" vertical="top" wrapText="1" indent="4"/>
    </xf>
    <xf numFmtId="0" fontId="8" fillId="0" borderId="0" xfId="0" applyFont="1" applyAlignment="1">
      <alignment horizontal="left" wrapText="1" indent="4"/>
    </xf>
    <xf numFmtId="9" fontId="2" fillId="0" borderId="0" xfId="1" applyFont="1" applyFill="1" applyBorder="1"/>
    <xf numFmtId="0" fontId="57" fillId="15" borderId="17" xfId="0" applyFont="1" applyFill="1" applyBorder="1" applyAlignment="1">
      <alignment horizontal="center" vertical="center" wrapText="1"/>
    </xf>
    <xf numFmtId="0" fontId="57" fillId="15" borderId="18" xfId="0" applyFont="1" applyFill="1" applyBorder="1" applyAlignment="1">
      <alignment horizontal="center" vertical="center" wrapText="1"/>
    </xf>
    <xf numFmtId="0" fontId="57" fillId="15" borderId="19" xfId="0" applyFont="1" applyFill="1" applyBorder="1" applyAlignment="1">
      <alignment horizontal="center" vertical="center" wrapText="1"/>
    </xf>
    <xf numFmtId="0" fontId="7" fillId="0" borderId="18" xfId="0" applyFont="1" applyBorder="1" applyAlignment="1">
      <alignment horizontal="center"/>
    </xf>
    <xf numFmtId="165" fontId="7" fillId="0" borderId="18" xfId="0" applyNumberFormat="1" applyFont="1" applyBorder="1" applyAlignment="1">
      <alignment horizontal="center"/>
    </xf>
    <xf numFmtId="165" fontId="7" fillId="0" borderId="18" xfId="0" applyNumberFormat="1" applyFont="1" applyBorder="1"/>
    <xf numFmtId="165" fontId="7" fillId="0" borderId="19" xfId="0" applyNumberFormat="1" applyFont="1" applyBorder="1"/>
    <xf numFmtId="1" fontId="7" fillId="0" borderId="18" xfId="0" applyNumberFormat="1" applyFont="1" applyBorder="1"/>
    <xf numFmtId="0" fontId="58" fillId="0" borderId="17" xfId="0" applyFont="1" applyBorder="1" applyAlignment="1">
      <alignment horizontal="left" vertical="center"/>
    </xf>
    <xf numFmtId="0" fontId="8" fillId="0" borderId="18" xfId="0" applyFont="1" applyBorder="1" applyAlignment="1">
      <alignment horizontal="center"/>
    </xf>
    <xf numFmtId="165" fontId="8" fillId="0" borderId="18" xfId="0" applyNumberFormat="1" applyFont="1" applyBorder="1" applyAlignment="1">
      <alignment horizontal="center"/>
    </xf>
    <xf numFmtId="165" fontId="8" fillId="0" borderId="18" xfId="0" applyNumberFormat="1" applyFont="1" applyBorder="1"/>
    <xf numFmtId="165" fontId="8" fillId="0" borderId="19" xfId="0" applyNumberFormat="1" applyFont="1" applyBorder="1"/>
    <xf numFmtId="0" fontId="7" fillId="0" borderId="29" xfId="0" applyFont="1" applyBorder="1" applyAlignment="1">
      <alignment horizontal="center"/>
    </xf>
    <xf numFmtId="165" fontId="7" fillId="0" borderId="29" xfId="0" applyNumberFormat="1" applyFont="1" applyBorder="1" applyAlignment="1">
      <alignment horizontal="center"/>
    </xf>
    <xf numFmtId="165" fontId="7" fillId="0" borderId="32" xfId="0" applyNumberFormat="1" applyFont="1" applyBorder="1"/>
    <xf numFmtId="0" fontId="58" fillId="0" borderId="33" xfId="0" applyFont="1" applyBorder="1" applyAlignment="1">
      <alignment horizontal="left" vertical="center"/>
    </xf>
    <xf numFmtId="0" fontId="8" fillId="0" borderId="30" xfId="0" applyFont="1" applyBorder="1" applyAlignment="1">
      <alignment horizontal="center"/>
    </xf>
    <xf numFmtId="165" fontId="8" fillId="0" borderId="30" xfId="0" applyNumberFormat="1" applyFont="1" applyBorder="1" applyAlignment="1">
      <alignment horizontal="center"/>
    </xf>
    <xf numFmtId="0" fontId="8" fillId="0" borderId="30" xfId="0" applyFont="1" applyBorder="1"/>
    <xf numFmtId="9" fontId="8" fillId="0" borderId="34" xfId="0" applyNumberFormat="1" applyFont="1" applyBorder="1"/>
    <xf numFmtId="0" fontId="58" fillId="0" borderId="26" xfId="0" applyFont="1" applyBorder="1" applyAlignment="1">
      <alignment horizontal="left" vertical="center"/>
    </xf>
    <xf numFmtId="0" fontId="8" fillId="0" borderId="27" xfId="0" applyFont="1" applyBorder="1" applyAlignment="1">
      <alignment horizontal="center"/>
    </xf>
    <xf numFmtId="165" fontId="8" fillId="0" borderId="27" xfId="0" applyNumberFormat="1" applyFont="1" applyBorder="1" applyAlignment="1">
      <alignment horizontal="center"/>
    </xf>
    <xf numFmtId="165" fontId="8" fillId="0" borderId="28" xfId="0" applyNumberFormat="1" applyFont="1" applyBorder="1"/>
    <xf numFmtId="0" fontId="57" fillId="8" borderId="0" xfId="0" applyFont="1" applyFill="1" applyAlignment="1">
      <alignment horizontal="center" vertical="top" wrapText="1"/>
    </xf>
    <xf numFmtId="1" fontId="7" fillId="0" borderId="0" xfId="3" applyNumberFormat="1" applyFont="1"/>
    <xf numFmtId="1" fontId="8" fillId="0" borderId="25" xfId="3" applyNumberFormat="1" applyFont="1" applyBorder="1"/>
    <xf numFmtId="168" fontId="7" fillId="0" borderId="25" xfId="3" applyNumberFormat="1" applyFont="1" applyBorder="1"/>
    <xf numFmtId="1" fontId="7" fillId="0" borderId="25" xfId="3" applyNumberFormat="1" applyFont="1" applyBorder="1"/>
    <xf numFmtId="168" fontId="8" fillId="0" borderId="0" xfId="3" applyNumberFormat="1" applyFont="1"/>
    <xf numFmtId="1" fontId="8" fillId="0" borderId="0" xfId="3" applyNumberFormat="1" applyFont="1"/>
    <xf numFmtId="0" fontId="58" fillId="0" borderId="20" xfId="0" applyFont="1" applyBorder="1" applyAlignment="1">
      <alignment horizontal="left" vertical="top" wrapText="1"/>
    </xf>
    <xf numFmtId="0" fontId="8" fillId="0" borderId="20" xfId="0" applyFont="1" applyBorder="1" applyAlignment="1">
      <alignment horizontal="left" vertical="top" wrapText="1" indent="2"/>
    </xf>
    <xf numFmtId="168" fontId="8" fillId="0" borderId="0" xfId="3" applyNumberFormat="1" applyFont="1" applyFill="1"/>
    <xf numFmtId="168" fontId="7" fillId="0" borderId="0" xfId="3" applyNumberFormat="1" applyFont="1" applyFill="1"/>
    <xf numFmtId="1" fontId="7" fillId="0" borderId="0" xfId="3" applyNumberFormat="1" applyFont="1" applyFill="1"/>
    <xf numFmtId="0" fontId="59" fillId="0" borderId="0" xfId="0" applyFont="1" applyAlignment="1">
      <alignment horizontal="left" vertical="top" wrapText="1" indent="2"/>
    </xf>
    <xf numFmtId="0" fontId="59" fillId="0" borderId="25" xfId="0" applyFont="1" applyBorder="1" applyAlignment="1">
      <alignment horizontal="left" vertical="top" wrapText="1" indent="2"/>
    </xf>
    <xf numFmtId="0" fontId="57" fillId="15" borderId="20" xfId="0" applyFont="1" applyFill="1" applyBorder="1" applyAlignment="1">
      <alignment horizontal="center" vertical="center" wrapText="1"/>
    </xf>
    <xf numFmtId="0" fontId="57" fillId="15" borderId="21" xfId="0" applyFont="1" applyFill="1" applyBorder="1" applyAlignment="1">
      <alignment horizontal="center" vertical="center" wrapText="1"/>
    </xf>
    <xf numFmtId="0" fontId="57" fillId="15" borderId="22" xfId="0" applyFont="1" applyFill="1" applyBorder="1" applyAlignment="1">
      <alignment horizontal="center" vertical="center" wrapText="1"/>
    </xf>
    <xf numFmtId="165" fontId="58" fillId="0" borderId="21" xfId="3" applyNumberFormat="1" applyFont="1" applyFill="1" applyBorder="1" applyAlignment="1">
      <alignment vertical="top" wrapText="1"/>
    </xf>
    <xf numFmtId="1" fontId="58" fillId="0" borderId="21" xfId="3" applyNumberFormat="1" applyFont="1" applyFill="1" applyBorder="1" applyAlignment="1">
      <alignment vertical="top" wrapText="1"/>
    </xf>
    <xf numFmtId="165" fontId="58" fillId="0" borderId="22" xfId="3" applyNumberFormat="1" applyFont="1" applyFill="1" applyBorder="1" applyAlignment="1">
      <alignment vertical="top" wrapText="1"/>
    </xf>
    <xf numFmtId="165" fontId="7" fillId="0" borderId="21" xfId="3" applyNumberFormat="1" applyFont="1" applyFill="1" applyBorder="1" applyAlignment="1">
      <alignment vertical="top" wrapText="1"/>
    </xf>
    <xf numFmtId="1" fontId="7" fillId="0" borderId="21" xfId="3" applyNumberFormat="1" applyFont="1" applyFill="1" applyBorder="1" applyAlignment="1">
      <alignment vertical="top" wrapText="1"/>
    </xf>
    <xf numFmtId="165" fontId="60" fillId="0" borderId="22" xfId="3" applyNumberFormat="1" applyFont="1" applyFill="1" applyBorder="1" applyAlignment="1">
      <alignment vertical="top" wrapText="1"/>
    </xf>
    <xf numFmtId="1" fontId="60" fillId="0" borderId="22" xfId="3" applyNumberFormat="1" applyFont="1" applyFill="1" applyBorder="1" applyAlignment="1">
      <alignment vertical="top" wrapText="1"/>
    </xf>
    <xf numFmtId="1" fontId="58" fillId="0" borderId="22" xfId="3" applyNumberFormat="1" applyFont="1" applyFill="1" applyBorder="1" applyAlignment="1">
      <alignment vertical="top" wrapText="1"/>
    </xf>
    <xf numFmtId="1" fontId="60" fillId="0" borderId="21" xfId="3" applyNumberFormat="1" applyFont="1" applyFill="1" applyBorder="1" applyAlignment="1">
      <alignment vertical="top" wrapText="1"/>
    </xf>
    <xf numFmtId="0" fontId="8" fillId="0" borderId="1" xfId="0" applyFont="1" applyBorder="1" applyAlignment="1">
      <alignment horizontal="left" vertical="top" wrapText="1" indent="2"/>
    </xf>
    <xf numFmtId="165" fontId="7" fillId="0" borderId="2" xfId="3" applyNumberFormat="1" applyFont="1" applyFill="1" applyBorder="1" applyAlignment="1">
      <alignment vertical="top" wrapText="1"/>
    </xf>
    <xf numFmtId="1" fontId="7" fillId="0" borderId="2" xfId="3" applyNumberFormat="1" applyFont="1" applyFill="1" applyBorder="1" applyAlignment="1">
      <alignment vertical="top" wrapText="1"/>
    </xf>
    <xf numFmtId="165" fontId="60" fillId="0" borderId="3" xfId="3" applyNumberFormat="1" applyFont="1" applyFill="1" applyBorder="1" applyAlignment="1">
      <alignment vertical="top" wrapText="1"/>
    </xf>
    <xf numFmtId="0" fontId="58" fillId="0" borderId="52" xfId="0" applyFont="1" applyBorder="1" applyAlignment="1">
      <alignment horizontal="left" vertical="top" wrapText="1"/>
    </xf>
    <xf numFmtId="165" fontId="59" fillId="0" borderId="53" xfId="3" applyNumberFormat="1" applyFont="1" applyFill="1" applyBorder="1" applyAlignment="1">
      <alignment vertical="top" wrapText="1"/>
    </xf>
    <xf numFmtId="165" fontId="59" fillId="0" borderId="54" xfId="3" applyNumberFormat="1" applyFont="1" applyFill="1" applyBorder="1" applyAlignment="1">
      <alignment vertical="top" wrapText="1"/>
    </xf>
    <xf numFmtId="0" fontId="8" fillId="0" borderId="57" xfId="0" applyFont="1" applyBorder="1" applyAlignment="1">
      <alignment horizontal="left" vertical="top" wrapText="1" indent="2"/>
    </xf>
    <xf numFmtId="1" fontId="7" fillId="0" borderId="39" xfId="3" applyNumberFormat="1" applyFont="1" applyFill="1" applyBorder="1" applyAlignment="1">
      <alignment vertical="top" wrapText="1"/>
    </xf>
    <xf numFmtId="1" fontId="60" fillId="0" borderId="58" xfId="3" applyNumberFormat="1" applyFont="1" applyFill="1" applyBorder="1" applyAlignment="1">
      <alignment vertical="top" wrapText="1"/>
    </xf>
    <xf numFmtId="0" fontId="71" fillId="15" borderId="0" xfId="0" applyFont="1" applyFill="1" applyAlignment="1">
      <alignment horizontal="center" vertical="center" wrapText="1"/>
    </xf>
    <xf numFmtId="0" fontId="57" fillId="14" borderId="22" xfId="0" applyFont="1" applyFill="1" applyBorder="1" applyAlignment="1">
      <alignment horizontal="center" vertical="center"/>
    </xf>
    <xf numFmtId="0" fontId="58" fillId="0" borderId="17" xfId="0" applyFont="1" applyBorder="1" applyAlignment="1">
      <alignment horizontal="left" vertical="center" indent="2"/>
    </xf>
    <xf numFmtId="0" fontId="58" fillId="0" borderId="17" xfId="0" applyFont="1" applyBorder="1" applyAlignment="1">
      <alignment horizontal="left" vertical="center" wrapText="1" indent="2"/>
    </xf>
    <xf numFmtId="0" fontId="58" fillId="0" borderId="31" xfId="0" applyFont="1" applyBorder="1" applyAlignment="1">
      <alignment horizontal="left" vertical="center" indent="2"/>
    </xf>
    <xf numFmtId="0" fontId="59" fillId="0" borderId="0" xfId="0" applyFont="1" applyAlignment="1">
      <alignment horizontal="left" vertical="top"/>
    </xf>
    <xf numFmtId="0" fontId="58" fillId="0" borderId="17" xfId="0" applyFont="1" applyBorder="1"/>
    <xf numFmtId="0" fontId="60" fillId="0" borderId="0" xfId="0" applyFont="1" applyAlignment="1">
      <alignment horizontal="left" vertical="top" wrapText="1"/>
    </xf>
    <xf numFmtId="0" fontId="60" fillId="7" borderId="0" xfId="0" applyFont="1" applyFill="1" applyAlignment="1">
      <alignment horizontal="left" vertical="top" wrapText="1"/>
    </xf>
    <xf numFmtId="0" fontId="57" fillId="8" borderId="21" xfId="0" applyFont="1" applyFill="1" applyBorder="1" applyAlignment="1">
      <alignment horizontal="center" vertical="center" wrapText="1"/>
    </xf>
    <xf numFmtId="0" fontId="60" fillId="0" borderId="21" xfId="0" applyFont="1" applyBorder="1" applyAlignment="1">
      <alignment vertical="top" wrapText="1"/>
    </xf>
    <xf numFmtId="0" fontId="60" fillId="0" borderId="23" xfId="0" applyFont="1" applyBorder="1" applyAlignment="1">
      <alignment vertical="top" wrapText="1"/>
    </xf>
    <xf numFmtId="0" fontId="58" fillId="0" borderId="20" xfId="0" applyFont="1" applyBorder="1" applyAlignment="1">
      <alignment vertical="top" wrapText="1"/>
    </xf>
    <xf numFmtId="169" fontId="7" fillId="0" borderId="0" xfId="0" applyNumberFormat="1" applyFont="1" applyAlignment="1">
      <alignment horizontal="right" vertical="top" wrapText="1"/>
    </xf>
    <xf numFmtId="9" fontId="7" fillId="0" borderId="0" xfId="0" applyNumberFormat="1" applyFont="1" applyAlignment="1">
      <alignment horizontal="right" vertical="top" wrapText="1"/>
    </xf>
    <xf numFmtId="174" fontId="7" fillId="0" borderId="0" xfId="0" applyNumberFormat="1" applyFont="1" applyAlignment="1">
      <alignment horizontal="right" vertical="top" wrapText="1"/>
    </xf>
    <xf numFmtId="9" fontId="1" fillId="0" borderId="0" xfId="1" applyFont="1" applyBorder="1"/>
    <xf numFmtId="9" fontId="1" fillId="0" borderId="0" xfId="3" applyNumberFormat="1" applyFont="1"/>
    <xf numFmtId="0" fontId="60" fillId="2" borderId="0" xfId="0" applyFont="1" applyFill="1" applyAlignment="1">
      <alignment horizontal="left" vertical="center"/>
    </xf>
    <xf numFmtId="2" fontId="60" fillId="0" borderId="0" xfId="0" applyNumberFormat="1" applyFont="1" applyAlignment="1">
      <alignment horizontal="right"/>
    </xf>
    <xf numFmtId="0" fontId="48" fillId="2" borderId="0" xfId="0" applyFont="1" applyFill="1" applyAlignment="1">
      <alignment vertical="top" wrapText="1"/>
    </xf>
    <xf numFmtId="0" fontId="22" fillId="0" borderId="0" xfId="2"/>
    <xf numFmtId="0" fontId="82" fillId="0" borderId="0" xfId="2" applyFont="1"/>
    <xf numFmtId="169" fontId="48" fillId="0" borderId="0" xfId="0" applyNumberFormat="1" applyFont="1" applyAlignment="1">
      <alignment horizontal="center" vertical="top"/>
    </xf>
    <xf numFmtId="1" fontId="48" fillId="0" borderId="0" xfId="0" applyNumberFormat="1" applyFont="1" applyAlignment="1">
      <alignment horizontal="center" vertical="top"/>
    </xf>
    <xf numFmtId="3" fontId="48" fillId="0" borderId="0" xfId="3" applyNumberFormat="1" applyFont="1" applyAlignment="1">
      <alignment horizontal="center" vertical="top"/>
    </xf>
    <xf numFmtId="0" fontId="48" fillId="2" borderId="0" xfId="0" applyFont="1" applyFill="1" applyAlignment="1">
      <alignment horizontal="center" vertical="center" wrapText="1"/>
    </xf>
    <xf numFmtId="0" fontId="48" fillId="0" borderId="0" xfId="0" applyFont="1" applyAlignment="1">
      <alignment horizontal="center" vertical="center" wrapText="1"/>
    </xf>
    <xf numFmtId="0" fontId="48" fillId="0" borderId="27" xfId="0" applyFont="1" applyBorder="1" applyAlignment="1">
      <alignment horizontal="center" vertical="center" wrapText="1"/>
    </xf>
    <xf numFmtId="0" fontId="7" fillId="0" borderId="0" xfId="0" applyFont="1" applyAlignment="1">
      <alignment horizontal="center" vertical="center"/>
    </xf>
    <xf numFmtId="3" fontId="7" fillId="0" borderId="0" xfId="3" applyNumberFormat="1" applyFont="1" applyFill="1" applyAlignment="1">
      <alignment horizontal="center" vertical="top" wrapText="1"/>
    </xf>
    <xf numFmtId="2" fontId="48" fillId="0" borderId="0" xfId="0" applyNumberFormat="1" applyFont="1" applyAlignment="1">
      <alignment horizontal="center" vertical="center"/>
    </xf>
    <xf numFmtId="167" fontId="76" fillId="0" borderId="0" xfId="0" applyNumberFormat="1" applyFont="1" applyAlignment="1">
      <alignment horizontal="center" vertical="center"/>
    </xf>
    <xf numFmtId="167" fontId="48" fillId="0" borderId="0" xfId="0" applyNumberFormat="1" applyFont="1" applyAlignment="1">
      <alignment horizontal="center" vertical="center"/>
    </xf>
    <xf numFmtId="3" fontId="48" fillId="0" borderId="0" xfId="3" applyNumberFormat="1" applyFont="1" applyFill="1" applyBorder="1" applyAlignment="1">
      <alignment horizontal="center" vertical="center"/>
    </xf>
    <xf numFmtId="3" fontId="7" fillId="0" borderId="0" xfId="3" applyNumberFormat="1" applyFont="1" applyFill="1" applyBorder="1" applyAlignment="1">
      <alignment horizontal="center"/>
    </xf>
    <xf numFmtId="3" fontId="7" fillId="0" borderId="0" xfId="0" applyNumberFormat="1" applyFont="1" applyAlignment="1">
      <alignment horizontal="center"/>
    </xf>
    <xf numFmtId="3" fontId="48" fillId="0" borderId="0" xfId="0" applyNumberFormat="1" applyFont="1" applyAlignment="1">
      <alignment horizontal="center"/>
    </xf>
    <xf numFmtId="175" fontId="7" fillId="0" borderId="0" xfId="0" applyNumberFormat="1" applyFont="1" applyAlignment="1">
      <alignment horizontal="center" vertical="center"/>
    </xf>
    <xf numFmtId="3" fontId="7" fillId="0" borderId="0" xfId="3" applyNumberFormat="1" applyFont="1" applyAlignment="1">
      <alignment horizontal="center" vertical="center"/>
    </xf>
    <xf numFmtId="3" fontId="48" fillId="0" borderId="0" xfId="3" applyNumberFormat="1" applyFont="1" applyBorder="1" applyAlignment="1">
      <alignment horizontal="center"/>
    </xf>
    <xf numFmtId="3" fontId="48" fillId="0" borderId="0" xfId="3" applyNumberFormat="1" applyFont="1" applyAlignment="1">
      <alignment horizontal="center"/>
    </xf>
    <xf numFmtId="0" fontId="58" fillId="6" borderId="18" xfId="0" applyFont="1" applyFill="1" applyBorder="1" applyAlignment="1">
      <alignment horizontal="right" vertical="center" wrapText="1"/>
    </xf>
    <xf numFmtId="0" fontId="8" fillId="6" borderId="18" xfId="0" applyFont="1" applyFill="1" applyBorder="1" applyAlignment="1">
      <alignment horizontal="right" vertical="center" wrapText="1"/>
    </xf>
    <xf numFmtId="0" fontId="59" fillId="6" borderId="18" xfId="0" applyFont="1" applyFill="1" applyBorder="1" applyAlignment="1">
      <alignment horizontal="right" vertical="center"/>
    </xf>
    <xf numFmtId="1" fontId="7" fillId="2" borderId="18" xfId="0" applyNumberFormat="1" applyFont="1" applyFill="1" applyBorder="1" applyAlignment="1">
      <alignment vertical="center"/>
    </xf>
    <xf numFmtId="165" fontId="7" fillId="2" borderId="18" xfId="0" applyNumberFormat="1" applyFont="1" applyFill="1" applyBorder="1" applyAlignment="1">
      <alignment vertical="center"/>
    </xf>
    <xf numFmtId="165" fontId="48" fillId="2" borderId="18" xfId="0" applyNumberFormat="1" applyFont="1" applyFill="1" applyBorder="1" applyAlignment="1">
      <alignment horizontal="right" vertical="center" wrapText="1"/>
    </xf>
    <xf numFmtId="1" fontId="48" fillId="2" borderId="18" xfId="0" applyNumberFormat="1" applyFont="1" applyFill="1" applyBorder="1" applyAlignment="1">
      <alignment horizontal="right" vertical="center" wrapText="1"/>
    </xf>
    <xf numFmtId="165" fontId="48" fillId="2" borderId="19" xfId="0" applyNumberFormat="1" applyFont="1" applyFill="1" applyBorder="1" applyAlignment="1">
      <alignment horizontal="right" vertical="center"/>
    </xf>
    <xf numFmtId="0" fontId="5" fillId="0" borderId="0" xfId="0" applyFont="1" applyAlignment="1">
      <alignment vertical="center"/>
    </xf>
    <xf numFmtId="9" fontId="48" fillId="0" borderId="0" xfId="0" applyNumberFormat="1" applyFont="1" applyAlignment="1">
      <alignment horizontal="center"/>
    </xf>
    <xf numFmtId="9" fontId="48" fillId="0" borderId="0" xfId="1" applyFont="1" applyFill="1" applyAlignment="1">
      <alignment horizontal="center"/>
    </xf>
    <xf numFmtId="0" fontId="60" fillId="0" borderId="0" xfId="0" applyFont="1" applyAlignment="1">
      <alignment horizontal="center" vertical="top"/>
    </xf>
    <xf numFmtId="0" fontId="60"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xf>
    <xf numFmtId="9" fontId="60" fillId="0" borderId="0" xfId="0" applyNumberFormat="1" applyFont="1" applyAlignment="1">
      <alignment horizontal="center"/>
    </xf>
    <xf numFmtId="0" fontId="48" fillId="0" borderId="0" xfId="0" applyFont="1" applyAlignment="1">
      <alignment horizontal="center"/>
    </xf>
    <xf numFmtId="0" fontId="48" fillId="0" borderId="39" xfId="0" applyFont="1" applyBorder="1" applyAlignment="1">
      <alignment horizontal="center"/>
    </xf>
    <xf numFmtId="3" fontId="59" fillId="0" borderId="27" xfId="0" applyNumberFormat="1" applyFont="1" applyBorder="1" applyAlignment="1">
      <alignment horizontal="center"/>
    </xf>
    <xf numFmtId="3" fontId="59" fillId="0" borderId="11" xfId="0" applyNumberFormat="1" applyFont="1" applyBorder="1" applyAlignment="1">
      <alignment horizontal="center"/>
    </xf>
    <xf numFmtId="3" fontId="59" fillId="0" borderId="14" xfId="0" applyNumberFormat="1" applyFont="1" applyBorder="1" applyAlignment="1">
      <alignment horizontal="center"/>
    </xf>
    <xf numFmtId="3" fontId="59" fillId="0" borderId="12" xfId="0" applyNumberFormat="1" applyFont="1" applyBorder="1" applyAlignment="1">
      <alignment horizontal="center"/>
    </xf>
    <xf numFmtId="3" fontId="48" fillId="0" borderId="10" xfId="0" applyNumberFormat="1" applyFont="1" applyBorder="1" applyAlignment="1">
      <alignment horizontal="center"/>
    </xf>
    <xf numFmtId="3" fontId="48" fillId="0" borderId="39" xfId="0" applyNumberFormat="1" applyFont="1" applyBorder="1" applyAlignment="1">
      <alignment horizontal="center"/>
    </xf>
    <xf numFmtId="3" fontId="48" fillId="0" borderId="38" xfId="0" applyNumberFormat="1" applyFont="1" applyBorder="1" applyAlignment="1">
      <alignment horizontal="center"/>
    </xf>
    <xf numFmtId="3" fontId="48" fillId="0" borderId="9" xfId="0" applyNumberFormat="1" applyFont="1" applyBorder="1" applyAlignment="1">
      <alignment horizontal="center"/>
    </xf>
    <xf numFmtId="3" fontId="48" fillId="0" borderId="40" xfId="0" applyNumberFormat="1" applyFont="1" applyBorder="1" applyAlignment="1">
      <alignment horizontal="center"/>
    </xf>
    <xf numFmtId="9" fontId="7" fillId="0" borderId="48" xfId="0" applyNumberFormat="1" applyFont="1" applyBorder="1" applyAlignment="1">
      <alignment horizontal="center"/>
    </xf>
    <xf numFmtId="9" fontId="8" fillId="0" borderId="0" xfId="0" applyNumberFormat="1" applyFont="1" applyAlignment="1">
      <alignment horizontal="center"/>
    </xf>
    <xf numFmtId="9" fontId="48" fillId="0" borderId="48" xfId="0" applyNumberFormat="1" applyFont="1" applyBorder="1" applyAlignment="1">
      <alignment horizontal="center"/>
    </xf>
    <xf numFmtId="9" fontId="59" fillId="0" borderId="0" xfId="0" applyNumberFormat="1" applyFont="1" applyAlignment="1">
      <alignment horizontal="center"/>
    </xf>
    <xf numFmtId="9" fontId="7" fillId="0" borderId="0" xfId="1" applyFont="1" applyFill="1" applyAlignment="1">
      <alignment horizontal="center" vertical="center"/>
    </xf>
    <xf numFmtId="9" fontId="7" fillId="0" borderId="9" xfId="1" applyFont="1" applyBorder="1" applyAlignment="1">
      <alignment horizontal="center" vertical="center"/>
    </xf>
    <xf numFmtId="9" fontId="7" fillId="0" borderId="0" xfId="1" applyFont="1" applyBorder="1" applyAlignment="1">
      <alignment horizontal="center" vertical="center"/>
    </xf>
    <xf numFmtId="9" fontId="48" fillId="0" borderId="10" xfId="1" applyFont="1" applyFill="1" applyBorder="1" applyAlignment="1">
      <alignment horizontal="center" vertical="center"/>
    </xf>
    <xf numFmtId="9" fontId="7" fillId="0" borderId="11" xfId="1" applyFont="1" applyBorder="1" applyAlignment="1">
      <alignment horizontal="center" vertical="center"/>
    </xf>
    <xf numFmtId="9" fontId="7" fillId="0" borderId="14" xfId="1" applyFont="1" applyBorder="1" applyAlignment="1">
      <alignment horizontal="center" vertical="center"/>
    </xf>
    <xf numFmtId="9" fontId="48" fillId="0" borderId="12" xfId="1" applyFont="1" applyFill="1" applyBorder="1" applyAlignment="1">
      <alignment horizontal="center" vertical="center"/>
    </xf>
    <xf numFmtId="3" fontId="8" fillId="0" borderId="18" xfId="0" applyNumberFormat="1" applyFont="1" applyBorder="1" applyAlignment="1">
      <alignment horizontal="center" wrapText="1"/>
    </xf>
    <xf numFmtId="9" fontId="8" fillId="0" borderId="18" xfId="0" applyNumberFormat="1" applyFont="1" applyBorder="1" applyAlignment="1">
      <alignment horizontal="center" wrapText="1"/>
    </xf>
    <xf numFmtId="9" fontId="7" fillId="0" borderId="18" xfId="0" applyNumberFormat="1" applyFont="1" applyBorder="1" applyAlignment="1">
      <alignment horizontal="center" wrapText="1"/>
    </xf>
    <xf numFmtId="0" fontId="7" fillId="0" borderId="18" xfId="0" applyFont="1" applyBorder="1" applyAlignment="1">
      <alignment horizontal="center" wrapText="1"/>
    </xf>
    <xf numFmtId="0" fontId="7" fillId="0" borderId="29" xfId="0" applyFont="1" applyBorder="1" applyAlignment="1">
      <alignment horizontal="center" wrapText="1"/>
    </xf>
    <xf numFmtId="9" fontId="7" fillId="0" borderId="29" xfId="0" applyNumberFormat="1" applyFont="1" applyBorder="1" applyAlignment="1">
      <alignment horizontal="center" wrapText="1"/>
    </xf>
    <xf numFmtId="3" fontId="7" fillId="0" borderId="0" xfId="0" applyNumberFormat="1" applyFont="1" applyAlignment="1">
      <alignment horizontal="center" vertical="top"/>
    </xf>
    <xf numFmtId="9" fontId="7" fillId="0" borderId="0" xfId="0" applyNumberFormat="1" applyFont="1" applyAlignment="1">
      <alignment horizontal="center" vertical="top"/>
    </xf>
    <xf numFmtId="9" fontId="7" fillId="0" borderId="0" xfId="1" applyFont="1" applyFill="1" applyAlignment="1">
      <alignment horizontal="center" vertical="top"/>
    </xf>
    <xf numFmtId="2" fontId="48" fillId="0" borderId="0" xfId="0" applyNumberFormat="1" applyFont="1" applyAlignment="1">
      <alignment horizontal="center"/>
    </xf>
    <xf numFmtId="2" fontId="48" fillId="16" borderId="0" xfId="0" applyNumberFormat="1" applyFont="1" applyFill="1" applyAlignment="1">
      <alignment horizontal="center"/>
    </xf>
    <xf numFmtId="9" fontId="48" fillId="0" borderId="0" xfId="0" applyNumberFormat="1" applyFont="1" applyAlignment="1">
      <alignment horizontal="center" vertical="top" wrapText="1"/>
    </xf>
    <xf numFmtId="0" fontId="48" fillId="0" borderId="0" xfId="0" applyFont="1" applyAlignment="1">
      <alignment horizontal="center" vertical="top" wrapText="1"/>
    </xf>
    <xf numFmtId="9" fontId="48" fillId="3" borderId="0" xfId="0" applyNumberFormat="1" applyFont="1" applyFill="1" applyAlignment="1">
      <alignment horizontal="center" vertical="top" wrapText="1"/>
    </xf>
    <xf numFmtId="168" fontId="48" fillId="0" borderId="0" xfId="3" applyNumberFormat="1" applyFont="1" applyBorder="1" applyAlignment="1"/>
    <xf numFmtId="9" fontId="48" fillId="0" borderId="0" xfId="1" applyFont="1" applyBorder="1" applyAlignment="1"/>
    <xf numFmtId="9" fontId="48" fillId="0" borderId="0" xfId="3" applyNumberFormat="1" applyFont="1" applyBorder="1" applyAlignment="1"/>
    <xf numFmtId="2" fontId="48" fillId="0" borderId="0" xfId="0" applyNumberFormat="1" applyFont="1" applyAlignment="1">
      <alignment horizontal="center" vertical="top" wrapText="1"/>
    </xf>
    <xf numFmtId="2" fontId="7" fillId="0" borderId="0" xfId="0" applyNumberFormat="1" applyFont="1" applyAlignment="1">
      <alignment horizontal="center" vertical="top" wrapText="1"/>
    </xf>
    <xf numFmtId="1" fontId="48" fillId="0" borderId="0" xfId="0" applyNumberFormat="1" applyFont="1" applyAlignment="1">
      <alignment horizontal="center" vertical="top" wrapText="1"/>
    </xf>
    <xf numFmtId="0" fontId="77" fillId="0" borderId="0" xfId="0" applyFont="1" applyAlignment="1">
      <alignment horizontal="center" vertical="top" wrapText="1"/>
    </xf>
    <xf numFmtId="0" fontId="8" fillId="0" borderId="0" xfId="0" applyFont="1" applyAlignment="1">
      <alignment horizontal="center" vertical="top" wrapText="1"/>
    </xf>
    <xf numFmtId="167" fontId="48" fillId="0" borderId="0" xfId="0" applyNumberFormat="1" applyFont="1" applyAlignment="1">
      <alignment horizontal="center" vertical="top" wrapText="1"/>
    </xf>
    <xf numFmtId="167" fontId="7" fillId="0" borderId="0" xfId="0" applyNumberFormat="1" applyFont="1" applyAlignment="1">
      <alignment horizontal="center" vertical="top" wrapText="1"/>
    </xf>
    <xf numFmtId="1" fontId="7" fillId="0" borderId="0" xfId="0" applyNumberFormat="1" applyFont="1" applyAlignment="1">
      <alignment horizontal="center" vertical="top"/>
    </xf>
    <xf numFmtId="0" fontId="8" fillId="0" borderId="2" xfId="0" applyFont="1" applyBorder="1" applyAlignment="1">
      <alignment horizontal="center" vertical="top" wrapText="1"/>
    </xf>
    <xf numFmtId="2" fontId="7" fillId="0" borderId="0" xfId="0" applyNumberFormat="1" applyFont="1" applyAlignment="1">
      <alignment horizontal="center" vertical="top"/>
    </xf>
    <xf numFmtId="9" fontId="39" fillId="0" borderId="18" xfId="1" applyFont="1" applyFill="1" applyBorder="1" applyAlignment="1">
      <alignment horizontal="center" wrapText="1"/>
    </xf>
    <xf numFmtId="9" fontId="39" fillId="0" borderId="19" xfId="1" applyFont="1" applyFill="1" applyBorder="1" applyAlignment="1">
      <alignment horizontal="center" wrapText="1"/>
    </xf>
    <xf numFmtId="9" fontId="39" fillId="0" borderId="39" xfId="1" applyFont="1" applyFill="1" applyBorder="1" applyAlignment="1">
      <alignment horizontal="center" wrapText="1"/>
    </xf>
    <xf numFmtId="9" fontId="39" fillId="0" borderId="50" xfId="1" applyFont="1" applyFill="1" applyBorder="1" applyAlignment="1">
      <alignment horizontal="center" wrapText="1"/>
    </xf>
    <xf numFmtId="9" fontId="38" fillId="0" borderId="27" xfId="0" applyNumberFormat="1" applyFont="1" applyBorder="1" applyAlignment="1">
      <alignment horizontal="center" wrapText="1"/>
    </xf>
    <xf numFmtId="9" fontId="38" fillId="0" borderId="28" xfId="0" applyNumberFormat="1" applyFont="1" applyBorder="1" applyAlignment="1">
      <alignment horizontal="center" wrapText="1"/>
    </xf>
    <xf numFmtId="0" fontId="55" fillId="0" borderId="0" xfId="0" applyFont="1" applyAlignment="1">
      <alignment horizontal="center" vertical="top" wrapText="1"/>
    </xf>
    <xf numFmtId="174" fontId="8" fillId="0" borderId="0" xfId="0" applyNumberFormat="1" applyFont="1" applyAlignment="1">
      <alignment horizontal="right" vertical="top"/>
    </xf>
    <xf numFmtId="174" fontId="8" fillId="6" borderId="0" xfId="0" applyNumberFormat="1" applyFont="1" applyFill="1" applyAlignment="1">
      <alignment horizontal="right" vertical="top"/>
    </xf>
    <xf numFmtId="174" fontId="8" fillId="6" borderId="0" xfId="3" applyNumberFormat="1" applyFont="1" applyFill="1" applyAlignment="1">
      <alignment horizontal="right" vertical="top"/>
    </xf>
    <xf numFmtId="174" fontId="7" fillId="0" borderId="0" xfId="0" applyNumberFormat="1" applyFont="1" applyAlignment="1">
      <alignment horizontal="right" vertical="top"/>
    </xf>
    <xf numFmtId="174" fontId="8" fillId="0" borderId="0" xfId="3" applyNumberFormat="1" applyFont="1" applyAlignment="1">
      <alignment horizontal="right" vertical="top"/>
    </xf>
    <xf numFmtId="174" fontId="7" fillId="0" borderId="0" xfId="3" applyNumberFormat="1" applyFont="1" applyAlignment="1">
      <alignment horizontal="right" vertical="top"/>
    </xf>
    <xf numFmtId="0" fontId="57" fillId="8" borderId="60" xfId="0" applyFont="1" applyFill="1" applyBorder="1" applyAlignment="1">
      <alignment horizontal="center" vertical="center" wrapText="1"/>
    </xf>
    <xf numFmtId="0" fontId="60" fillId="0" borderId="60" xfId="0" applyFont="1" applyBorder="1" applyAlignment="1">
      <alignment vertical="top" wrapText="1"/>
    </xf>
    <xf numFmtId="0" fontId="60" fillId="0" borderId="59" xfId="0" applyFont="1" applyBorder="1" applyAlignment="1">
      <alignment vertical="top" wrapText="1"/>
    </xf>
    <xf numFmtId="0" fontId="60" fillId="0" borderId="21" xfId="0" applyFont="1" applyBorder="1" applyAlignment="1">
      <alignment horizontal="left" vertical="top" wrapText="1"/>
    </xf>
    <xf numFmtId="0" fontId="60" fillId="0" borderId="60" xfId="0" applyFont="1" applyBorder="1" applyAlignment="1">
      <alignment horizontal="left" vertical="top" wrapText="1"/>
    </xf>
    <xf numFmtId="0" fontId="48" fillId="0" borderId="0" xfId="0" applyFont="1" applyAlignment="1">
      <alignment horizontal="center" vertical="center"/>
    </xf>
    <xf numFmtId="3" fontId="7" fillId="0" borderId="0" xfId="0" applyNumberFormat="1" applyFont="1" applyAlignment="1">
      <alignment horizontal="center" vertical="top" wrapText="1"/>
    </xf>
    <xf numFmtId="0" fontId="25" fillId="0" borderId="0" xfId="0" applyFont="1" applyAlignment="1">
      <alignment horizontal="left"/>
    </xf>
    <xf numFmtId="0" fontId="48" fillId="2" borderId="0" xfId="2" applyFont="1" applyFill="1" applyAlignment="1">
      <alignment horizontal="left" vertical="top" wrapText="1"/>
    </xf>
    <xf numFmtId="0" fontId="16" fillId="0" borderId="0" xfId="0" applyFont="1" applyAlignment="1">
      <alignment horizontal="left" vertical="top" wrapText="1"/>
    </xf>
    <xf numFmtId="0" fontId="13" fillId="0" borderId="21" xfId="0" applyFont="1" applyBorder="1" applyAlignment="1">
      <alignment horizontal="left" vertical="top" wrapText="1"/>
    </xf>
    <xf numFmtId="0" fontId="55" fillId="7" borderId="0" xfId="0" applyFont="1" applyFill="1" applyAlignment="1">
      <alignment horizontal="left"/>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38" fillId="10" borderId="55" xfId="0" applyFont="1" applyFill="1" applyBorder="1" applyAlignment="1">
      <alignment horizontal="left" vertical="top" wrapText="1"/>
    </xf>
    <xf numFmtId="0" fontId="39" fillId="13" borderId="0" xfId="0" applyFont="1" applyFill="1" applyAlignment="1">
      <alignment horizontal="left"/>
    </xf>
    <xf numFmtId="0" fontId="38" fillId="12" borderId="55" xfId="0" applyFont="1" applyFill="1" applyBorder="1" applyAlignment="1">
      <alignment horizontal="left" vertical="top" wrapText="1"/>
    </xf>
    <xf numFmtId="0" fontId="67" fillId="12" borderId="55" xfId="0" applyFont="1" applyFill="1" applyBorder="1" applyAlignment="1">
      <alignment horizontal="left" vertical="top" wrapText="1"/>
    </xf>
    <xf numFmtId="0" fontId="44" fillId="12" borderId="55" xfId="0" applyFont="1" applyFill="1" applyBorder="1" applyAlignment="1">
      <alignment horizontal="left" vertical="top" wrapText="1"/>
    </xf>
    <xf numFmtId="0" fontId="68" fillId="12" borderId="55" xfId="0" applyFont="1" applyFill="1" applyBorder="1" applyAlignment="1">
      <alignment horizontal="left" vertical="top" wrapText="1"/>
    </xf>
    <xf numFmtId="0" fontId="65" fillId="10" borderId="55" xfId="0" applyFont="1" applyFill="1" applyBorder="1" applyAlignment="1">
      <alignment horizontal="left" vertical="top" wrapText="1"/>
    </xf>
    <xf numFmtId="0" fontId="39" fillId="11" borderId="55" xfId="0" applyFont="1" applyFill="1" applyBorder="1" applyAlignment="1">
      <alignment horizontal="center" vertical="top" wrapText="1"/>
    </xf>
    <xf numFmtId="0" fontId="64" fillId="11" borderId="55" xfId="0" applyFont="1" applyFill="1" applyBorder="1" applyAlignment="1">
      <alignment horizontal="center" vertical="top"/>
    </xf>
    <xf numFmtId="0" fontId="44" fillId="0" borderId="55" xfId="0" applyFont="1" applyBorder="1" applyAlignment="1">
      <alignment horizontal="left" vertical="top" wrapText="1"/>
    </xf>
    <xf numFmtId="0" fontId="66" fillId="11" borderId="55" xfId="0" applyFont="1" applyFill="1" applyBorder="1" applyAlignment="1">
      <alignment horizontal="center" vertical="top"/>
    </xf>
    <xf numFmtId="0" fontId="44" fillId="0" borderId="55" xfId="0" applyFont="1" applyBorder="1" applyAlignment="1">
      <alignment horizontal="left" vertical="center"/>
    </xf>
    <xf numFmtId="0" fontId="61" fillId="0" borderId="56" xfId="0" applyFont="1" applyBorder="1" applyAlignment="1">
      <alignment horizontal="left" vertical="center"/>
    </xf>
    <xf numFmtId="0" fontId="61" fillId="0" borderId="0" xfId="0" applyFont="1" applyAlignment="1">
      <alignment horizontal="left" vertical="center"/>
    </xf>
    <xf numFmtId="0" fontId="62" fillId="8" borderId="55" xfId="0" applyFont="1" applyFill="1" applyBorder="1" applyAlignment="1">
      <alignment vertical="center" wrapText="1"/>
    </xf>
    <xf numFmtId="0" fontId="45" fillId="0" borderId="55" xfId="0" applyFont="1" applyBorder="1" applyAlignment="1">
      <alignment vertical="center" wrapText="1"/>
    </xf>
    <xf numFmtId="0" fontId="62" fillId="8" borderId="55" xfId="0" applyFont="1" applyFill="1" applyBorder="1"/>
    <xf numFmtId="0" fontId="45" fillId="0" borderId="55" xfId="0" applyFont="1" applyBorder="1"/>
    <xf numFmtId="0" fontId="62" fillId="8" borderId="55" xfId="0" applyFont="1" applyFill="1" applyBorder="1" applyAlignment="1">
      <alignment vertical="center"/>
    </xf>
    <xf numFmtId="0" fontId="56" fillId="0" borderId="55" xfId="0" applyFont="1" applyBorder="1" applyAlignment="1">
      <alignment vertical="center"/>
    </xf>
    <xf numFmtId="0" fontId="25" fillId="0" borderId="56" xfId="0" applyFont="1" applyBorder="1" applyAlignment="1">
      <alignment horizontal="left" vertical="center"/>
    </xf>
    <xf numFmtId="0" fontId="25" fillId="0" borderId="0" xfId="0" applyFont="1" applyAlignment="1">
      <alignment horizontal="left" vertical="center"/>
    </xf>
    <xf numFmtId="0" fontId="55" fillId="8" borderId="31" xfId="0" applyFont="1" applyFill="1" applyBorder="1" applyAlignment="1">
      <alignment vertical="center" wrapText="1"/>
    </xf>
    <xf numFmtId="0" fontId="55" fillId="8" borderId="29" xfId="0" applyFont="1" applyFill="1" applyBorder="1" applyAlignment="1">
      <alignment vertical="center" wrapText="1"/>
    </xf>
    <xf numFmtId="0" fontId="48" fillId="0" borderId="31" xfId="0" applyFont="1" applyBorder="1" applyAlignment="1">
      <alignment vertical="center" wrapText="1"/>
    </xf>
    <xf numFmtId="0" fontId="48" fillId="0" borderId="32" xfId="0" applyFont="1" applyBorder="1" applyAlignment="1">
      <alignment vertical="center" wrapText="1"/>
    </xf>
    <xf numFmtId="0" fontId="60" fillId="0" borderId="26" xfId="0" applyFont="1" applyBorder="1" applyAlignment="1">
      <alignment vertical="center"/>
    </xf>
    <xf numFmtId="0" fontId="60" fillId="0" borderId="28" xfId="0" applyFont="1" applyBorder="1" applyAlignment="1">
      <alignment vertical="center"/>
    </xf>
    <xf numFmtId="0" fontId="55" fillId="8" borderId="26" xfId="0" applyFont="1" applyFill="1" applyBorder="1" applyAlignment="1">
      <alignment horizontal="left" vertical="center"/>
    </xf>
    <xf numFmtId="0" fontId="55" fillId="8" borderId="28" xfId="0" applyFont="1" applyFill="1" applyBorder="1" applyAlignment="1">
      <alignment horizontal="left" vertical="center"/>
    </xf>
    <xf numFmtId="0" fontId="13" fillId="0" borderId="0" xfId="0" applyFont="1" applyAlignment="1">
      <alignment horizontal="left" vertical="top" wrapText="1"/>
    </xf>
    <xf numFmtId="0" fontId="46" fillId="0" borderId="0" xfId="9" applyFont="1" applyBorder="1" applyAlignment="1">
      <alignment horizontal="left"/>
    </xf>
    <xf numFmtId="0" fontId="7" fillId="0" borderId="0" xfId="0" applyFont="1" applyAlignment="1">
      <alignment horizontal="left" vertical="top" wrapText="1"/>
    </xf>
    <xf numFmtId="0" fontId="55" fillId="8" borderId="0" xfId="0" applyFont="1" applyFill="1" applyAlignment="1">
      <alignment horizontal="center" vertical="top" wrapText="1"/>
    </xf>
    <xf numFmtId="0" fontId="48" fillId="0" borderId="0" xfId="0" applyFont="1" applyAlignment="1">
      <alignment horizontal="left" vertical="top" wrapText="1"/>
    </xf>
    <xf numFmtId="0" fontId="35" fillId="0" borderId="0" xfId="0" applyFont="1" applyAlignment="1">
      <alignment horizontal="left" vertical="top" wrapText="1"/>
    </xf>
    <xf numFmtId="0" fontId="57" fillId="15" borderId="18" xfId="0" applyFont="1" applyFill="1" applyBorder="1" applyAlignment="1">
      <alignment horizontal="center"/>
    </xf>
    <xf numFmtId="0" fontId="57" fillId="15" borderId="19" xfId="0" applyFont="1" applyFill="1" applyBorder="1" applyAlignment="1">
      <alignment horizontal="center"/>
    </xf>
    <xf numFmtId="0" fontId="71" fillId="17" borderId="18" xfId="0" applyFont="1" applyFill="1" applyBorder="1" applyAlignment="1">
      <alignment horizontal="left" vertical="top" wrapText="1"/>
    </xf>
    <xf numFmtId="0" fontId="71" fillId="17" borderId="19" xfId="0" applyFont="1" applyFill="1" applyBorder="1" applyAlignment="1">
      <alignment horizontal="left" vertical="top" wrapText="1"/>
    </xf>
    <xf numFmtId="0" fontId="48" fillId="0" borderId="18" xfId="0" applyFont="1" applyBorder="1" applyAlignment="1">
      <alignment horizontal="left" vertical="top" wrapText="1"/>
    </xf>
    <xf numFmtId="0" fontId="48" fillId="0" borderId="19" xfId="0" applyFont="1" applyBorder="1" applyAlignment="1">
      <alignment horizontal="left" vertical="top" wrapText="1"/>
    </xf>
    <xf numFmtId="0" fontId="55" fillId="17" borderId="17" xfId="0" applyFont="1" applyFill="1" applyBorder="1" applyAlignment="1">
      <alignment horizontal="left" vertical="top" wrapText="1"/>
    </xf>
    <xf numFmtId="0" fontId="55" fillId="17" borderId="18" xfId="0" applyFont="1" applyFill="1" applyBorder="1" applyAlignment="1">
      <alignment horizontal="left" vertical="top" wrapText="1"/>
    </xf>
    <xf numFmtId="0" fontId="55" fillId="17" borderId="19" xfId="0" applyFont="1" applyFill="1" applyBorder="1" applyAlignment="1">
      <alignment horizontal="left" vertical="top" wrapText="1"/>
    </xf>
    <xf numFmtId="0" fontId="55" fillId="8" borderId="29" xfId="0" applyFont="1" applyFill="1" applyBorder="1" applyAlignment="1">
      <alignment horizontal="center"/>
    </xf>
    <xf numFmtId="0" fontId="55" fillId="8" borderId="32" xfId="0" applyFont="1" applyFill="1" applyBorder="1" applyAlignment="1">
      <alignment horizontal="center"/>
    </xf>
    <xf numFmtId="0" fontId="7" fillId="0" borderId="5" xfId="0" applyFont="1" applyBorder="1" applyAlignment="1">
      <alignment horizontal="left" vertical="top" wrapText="1"/>
    </xf>
    <xf numFmtId="0" fontId="7" fillId="0" borderId="47" xfId="0" applyFont="1" applyBorder="1" applyAlignment="1">
      <alignment horizontal="left" vertical="top"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16" fillId="2" borderId="41" xfId="0" applyFont="1" applyFill="1" applyBorder="1" applyAlignment="1">
      <alignment horizontal="left" vertical="top" wrapText="1"/>
    </xf>
    <xf numFmtId="0" fontId="16" fillId="2" borderId="41" xfId="0" applyFont="1" applyFill="1" applyBorder="1" applyAlignment="1">
      <alignment horizontal="left" vertical="top"/>
    </xf>
    <xf numFmtId="0" fontId="60" fillId="2" borderId="0" xfId="0" applyFont="1" applyFill="1" applyAlignment="1">
      <alignment horizontal="left" vertical="center"/>
    </xf>
    <xf numFmtId="0" fontId="60" fillId="2" borderId="0" xfId="0" applyFont="1" applyFill="1" applyAlignment="1">
      <alignment horizontal="left" vertical="center" wrapText="1"/>
    </xf>
    <xf numFmtId="0" fontId="7" fillId="2" borderId="0" xfId="0" applyFont="1" applyFill="1"/>
    <xf numFmtId="0" fontId="25" fillId="2" borderId="0" xfId="0" applyFont="1" applyFill="1" applyAlignment="1">
      <alignment horizontal="left" wrapText="1"/>
    </xf>
    <xf numFmtId="0" fontId="49" fillId="2" borderId="0" xfId="0" applyFont="1" applyFill="1"/>
    <xf numFmtId="0" fontId="16" fillId="0" borderId="0" xfId="0" applyFont="1" applyAlignment="1">
      <alignment horizontal="left" vertical="top"/>
    </xf>
    <xf numFmtId="0" fontId="48" fillId="2" borderId="0" xfId="2" applyFont="1" applyFill="1" applyAlignment="1">
      <alignment horizontal="left" wrapText="1"/>
    </xf>
    <xf numFmtId="0" fontId="48" fillId="0" borderId="0" xfId="2" applyFont="1" applyFill="1" applyAlignment="1">
      <alignment horizontal="left" wrapText="1"/>
    </xf>
    <xf numFmtId="0" fontId="16" fillId="0" borderId="0" xfId="0" quotePrefix="1" applyFont="1" applyAlignment="1">
      <alignment horizontal="left" vertical="top" wrapText="1"/>
    </xf>
    <xf numFmtId="0" fontId="7" fillId="0" borderId="0" xfId="4" applyFont="1" applyAlignment="1">
      <alignment horizontal="left"/>
    </xf>
    <xf numFmtId="0" fontId="55" fillId="8" borderId="18" xfId="0" applyFont="1" applyFill="1" applyBorder="1" applyAlignment="1">
      <alignment horizontal="center" vertical="center"/>
    </xf>
    <xf numFmtId="0" fontId="55" fillId="8" borderId="19" xfId="0" applyFont="1" applyFill="1" applyBorder="1" applyAlignment="1">
      <alignment horizontal="center" vertical="center" wrapText="1"/>
    </xf>
    <xf numFmtId="0" fontId="55" fillId="8" borderId="17" xfId="0" applyFont="1" applyFill="1" applyBorder="1" applyAlignment="1">
      <alignment horizontal="center" vertical="center" wrapText="1"/>
    </xf>
    <xf numFmtId="0" fontId="48" fillId="2" borderId="0" xfId="2" applyFont="1" applyFill="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left" vertical="top"/>
    </xf>
    <xf numFmtId="0" fontId="16" fillId="0" borderId="29" xfId="0" applyFont="1" applyBorder="1" applyAlignment="1">
      <alignment horizontal="left" vertical="top" wrapText="1"/>
    </xf>
    <xf numFmtId="0" fontId="2" fillId="0" borderId="29" xfId="0" applyFont="1" applyBorder="1" applyAlignment="1">
      <alignment horizontal="left" vertical="top"/>
    </xf>
    <xf numFmtId="0" fontId="2" fillId="0" borderId="0" xfId="0" applyFont="1" applyAlignment="1">
      <alignment horizontal="left" vertical="top"/>
    </xf>
    <xf numFmtId="0" fontId="12" fillId="0" borderId="0" xfId="0" applyFont="1" applyAlignment="1">
      <alignment horizontal="left" vertical="top"/>
    </xf>
    <xf numFmtId="0" fontId="8" fillId="0" borderId="7" xfId="0" applyFont="1" applyBorder="1" applyAlignment="1">
      <alignment horizontal="center"/>
    </xf>
    <xf numFmtId="0" fontId="8" fillId="0" borderId="13" xfId="0" applyFont="1" applyBorder="1" applyAlignment="1">
      <alignment horizontal="center"/>
    </xf>
    <xf numFmtId="0" fontId="8" fillId="0" borderId="8"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16" fillId="0" borderId="0" xfId="0" applyFont="1" applyAlignment="1">
      <alignment horizontal="left"/>
    </xf>
    <xf numFmtId="0" fontId="4" fillId="7" borderId="0" xfId="0" applyFont="1" applyFill="1" applyAlignment="1">
      <alignment horizontal="left"/>
    </xf>
    <xf numFmtId="0" fontId="55" fillId="7" borderId="0" xfId="0" applyFont="1" applyFill="1" applyAlignment="1">
      <alignment horizontal="left" wrapText="1"/>
    </xf>
    <xf numFmtId="0" fontId="13" fillId="0" borderId="29" xfId="2" applyFont="1" applyFill="1" applyBorder="1" applyAlignment="1">
      <alignment horizontal="left" vertical="top" wrapText="1"/>
    </xf>
    <xf numFmtId="0" fontId="10" fillId="0" borderId="0" xfId="2" applyFont="1" applyFill="1" applyBorder="1" applyAlignment="1">
      <alignment horizontal="right" vertical="top" wrapText="1"/>
    </xf>
    <xf numFmtId="0" fontId="58" fillId="0" borderId="20" xfId="0" applyFont="1" applyBorder="1" applyAlignment="1">
      <alignment horizontal="left" vertical="top" wrapText="1"/>
    </xf>
    <xf numFmtId="0" fontId="58" fillId="0" borderId="51" xfId="0" applyFont="1" applyBorder="1" applyAlignment="1">
      <alignment horizontal="left" vertical="top" wrapText="1"/>
    </xf>
    <xf numFmtId="0" fontId="58" fillId="0" borderId="52" xfId="0" applyFont="1" applyBorder="1" applyAlignment="1">
      <alignment horizontal="left" vertical="top" wrapText="1"/>
    </xf>
    <xf numFmtId="0" fontId="60" fillId="0" borderId="21" xfId="0" applyFont="1" applyBorder="1" applyAlignment="1">
      <alignment horizontal="left" vertical="top" wrapText="1"/>
    </xf>
    <xf numFmtId="0" fontId="60" fillId="0" borderId="0" xfId="0" applyFont="1" applyAlignment="1">
      <alignment horizontal="left" vertical="top" wrapText="1"/>
    </xf>
    <xf numFmtId="0" fontId="60" fillId="0" borderId="53" xfId="0" applyFont="1" applyBorder="1" applyAlignment="1">
      <alignment horizontal="left" vertical="top" wrapText="1"/>
    </xf>
    <xf numFmtId="0" fontId="15" fillId="0" borderId="21" xfId="0" applyFont="1" applyBorder="1" applyAlignment="1">
      <alignment horizontal="left" vertical="top" wrapText="1"/>
    </xf>
  </cellXfs>
  <cellStyles count="12">
    <cellStyle name="Bad 2" xfId="7" xr:uid="{2F466A24-D46F-4E1E-9289-28374CFEC7C6}"/>
    <cellStyle name="Comma" xfId="3" builtinId="3"/>
    <cellStyle name="Comma 2" xfId="5" xr:uid="{CC942621-B15A-48AF-8962-0E7FEEE34086}"/>
    <cellStyle name="Comma 3" xfId="10" xr:uid="{840FA2A2-932E-4B7E-9DBA-E1471A576D85}"/>
    <cellStyle name="Good 2" xfId="6" xr:uid="{512D0824-D770-4E59-A9CD-B0C9EA183ECE}"/>
    <cellStyle name="Heading 2" xfId="9" builtinId="17"/>
    <cellStyle name="Hyperlink" xfId="2" builtinId="8" customBuiltin="1"/>
    <cellStyle name="Hyperlink 2" xfId="8" xr:uid="{F4429A16-BBD0-4505-B42F-D77207F58BAE}"/>
    <cellStyle name="Normal" xfId="0" builtinId="0"/>
    <cellStyle name="Normal 2" xfId="4" xr:uid="{6088C936-84D2-49B5-B617-D7B1F9C6DA00}"/>
    <cellStyle name="Percent" xfId="1" builtinId="5"/>
    <cellStyle name="Percent 2" xfId="11" xr:uid="{2A764A3F-AFD1-4A15-B694-CF5FD8FE7FF6}"/>
  </cellStyles>
  <dxfs count="782">
    <dxf>
      <font>
        <b val="0"/>
        <i val="0"/>
        <strike val="0"/>
        <condense val="0"/>
        <extend val="0"/>
        <outline val="0"/>
        <shadow val="0"/>
        <u val="none"/>
        <vertAlign val="baseline"/>
        <sz val="10"/>
        <color theme="1"/>
        <name val="Aptos Narrow"/>
        <family val="2"/>
        <scheme val="minor"/>
      </font>
      <numFmt numFmtId="1" formatCode="0"/>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3" formatCode="0%"/>
      <alignment horizontal="right" vertical="top" textRotation="0" wrapText="1" indent="0" justifyLastLine="0" shrinkToFit="0" readingOrder="0"/>
    </dxf>
    <dxf>
      <font>
        <strike val="0"/>
        <outline val="0"/>
        <shadow val="0"/>
        <u val="none"/>
        <vertAlign val="baseline"/>
        <sz val="10"/>
        <color theme="1"/>
        <name val="Aptos Narrow"/>
        <family val="2"/>
        <scheme val="minor"/>
      </font>
      <alignment horizontal="righ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strike val="0"/>
        <outline val="0"/>
        <shadow val="0"/>
        <u val="none"/>
        <vertAlign val="baseline"/>
        <sz val="10"/>
        <color theme="1"/>
        <name val="Aptos Narrow"/>
        <family val="2"/>
        <scheme val="minor"/>
      </font>
      <alignment horizontal="left" vertical="top" textRotation="0" wrapText="1" indent="0" justifyLastLine="0" shrinkToFit="0" readingOrder="0"/>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strike val="0"/>
        <outline val="0"/>
        <shadow val="0"/>
        <u val="none"/>
        <vertAlign val="baseline"/>
        <sz val="1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strike val="0"/>
        <outline val="0"/>
        <shadow val="0"/>
        <u val="none"/>
        <vertAlign val="baseline"/>
        <sz val="10"/>
        <color theme="1"/>
        <name val="Aptos Narrow"/>
        <family val="2"/>
        <scheme val="minor"/>
      </font>
      <alignment horizontal="center" vertical="top" textRotation="0" wrapText="0" indent="0" justifyLastLine="0" shrinkToFit="0" readingOrder="0"/>
    </dxf>
    <dxf>
      <font>
        <b/>
        <strike val="0"/>
        <outline val="0"/>
        <shadow val="0"/>
        <u val="none"/>
        <vertAlign val="baseline"/>
        <sz val="10"/>
        <color theme="1"/>
        <name val="Aptos Narrow"/>
        <family val="2"/>
        <scheme val="minor"/>
      </font>
      <alignment textRotation="0" wrapText="1"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alignmen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b val="0"/>
        <strike val="0"/>
        <outline val="0"/>
        <shadow val="0"/>
        <u val="none"/>
        <vertAlign val="baseline"/>
        <sz val="10"/>
        <name val="Aptos Narrow"/>
        <family val="2"/>
        <scheme val="minor"/>
      </font>
      <numFmt numFmtId="174" formatCode="#,##0.0"/>
      <fill>
        <patternFill patternType="solid">
          <fgColor indexed="64"/>
          <bgColor theme="2"/>
        </patternFill>
      </fill>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numFmt numFmtId="174" formatCode="#,##0.0"/>
      <alignment horizontal="right" vertical="top" textRotation="0" wrapText="0" indent="0" justifyLastLine="0" shrinkToFit="0" readingOrder="0"/>
    </dxf>
    <dxf>
      <font>
        <strike val="0"/>
        <outline val="0"/>
        <shadow val="0"/>
        <u val="none"/>
        <vertAlign val="baseline"/>
        <sz val="10"/>
        <name val="Aptos Narrow"/>
        <family val="2"/>
        <scheme val="minor"/>
      </font>
      <alignment vertical="top" textRotation="0" wrapText="1" indent="0" justifyLastLine="0" shrinkToFit="0" readingOrder="0"/>
    </dxf>
    <dxf>
      <font>
        <strike val="0"/>
        <outline val="0"/>
        <shadow val="0"/>
        <u val="none"/>
        <vertAlign val="baseline"/>
        <sz val="10"/>
        <name val="Aptos Narrow"/>
        <family val="2"/>
        <scheme val="minor"/>
      </font>
      <alignment vertical="top" textRotation="0" indent="0" justifyLastLine="0" shrinkToFit="0" readingOrder="0"/>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68" formatCode="_-* #,##0_-;\-* #,##0_-;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8" formatCode="_-* #,##0_-;\-* #,##0_-;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numFmt numFmtId="0" formatCode="General"/>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8" formatCode="_-* #,##0_-;\-* #,##0_-;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dxf>
    <dxf>
      <font>
        <b/>
        <strike val="0"/>
        <outline val="0"/>
        <shadow val="0"/>
        <u val="none"/>
        <vertAlign val="baseline"/>
        <sz val="10"/>
        <name val="Aptos Narrow"/>
        <family val="2"/>
        <scheme val="minor"/>
      </font>
      <alignment vertical="bottom"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alignment vertical="bottom" textRotation="0" wrapText="1" justifyLastLine="0" shrinkToFit="0" readingOrder="0"/>
    </dxf>
    <dxf>
      <font>
        <b/>
        <strike val="0"/>
        <outline val="0"/>
        <shadow val="0"/>
        <u val="none"/>
        <vertAlign val="baseline"/>
        <sz val="10"/>
        <name val="Aptos Narrow"/>
        <family val="2"/>
        <scheme val="minor"/>
      </font>
      <alignment vertical="bottom"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b val="0"/>
        <strike val="0"/>
        <outline val="0"/>
        <shadow val="0"/>
        <u val="none"/>
        <vertAlign val="baseline"/>
        <sz val="10"/>
        <name val="Aptos Narrow"/>
        <family val="2"/>
        <scheme val="minor"/>
      </font>
      <numFmt numFmtId="165" formatCode="_(* #,##0_);_(* \(#,##0\);_(* &quot;-&quot;??_);_(@_)"/>
      <fill>
        <patternFill patternType="none">
          <fgColor indexed="64"/>
          <bgColor auto="1"/>
        </patternFill>
      </fill>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name val="Aptos Narrow"/>
        <family val="2"/>
        <scheme val="minor"/>
      </font>
      <numFmt numFmtId="165" formatCode="_(* #,##0_);_(* \(#,##0\);_(* &quot;-&quot;??_);_(@_)"/>
    </dxf>
    <dxf>
      <font>
        <strike val="0"/>
        <outline val="0"/>
        <shadow val="0"/>
        <u val="none"/>
        <vertAlign val="baseline"/>
        <sz val="10"/>
        <color theme="1"/>
        <name val="Aptos Narrow"/>
        <family val="2"/>
        <scheme val="minor"/>
      </font>
      <numFmt numFmtId="165" formatCode="_(* #,##0_);_(* \(#,##0\);_(* &quot;-&quot;??_);_(@_)"/>
    </dxf>
    <dxf>
      <font>
        <strike val="0"/>
        <outline val="0"/>
        <shadow val="0"/>
        <u val="none"/>
        <vertAlign val="baseline"/>
        <sz val="10"/>
        <name val="Aptos Narrow"/>
        <family val="2"/>
        <scheme val="minor"/>
      </font>
      <alignment vertical="bottom" textRotation="0" wrapText="1" justifyLastLine="0" shrinkToFit="0" readingOrder="0"/>
    </dxf>
    <dxf>
      <font>
        <b/>
        <strike val="0"/>
        <outline val="0"/>
        <shadow val="0"/>
        <u val="none"/>
        <vertAlign val="baseline"/>
        <sz val="10"/>
        <name val="Aptos Narrow"/>
        <family val="2"/>
        <scheme val="minor"/>
      </font>
      <alignment vertical="bottom"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style="thin">
          <color rgb="FF156082"/>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numFmt numFmtId="172" formatCode="#,##0.0,,\ &quot;M&quot;"/>
      <border diagonalUp="0" diagonalDown="0" outline="0">
        <left/>
        <right/>
        <top style="double">
          <color rgb="FF156082"/>
        </top>
        <bottom style="thin">
          <color rgb="FF156082"/>
        </bottom>
      </border>
    </dxf>
    <dxf>
      <font>
        <strike val="0"/>
        <outline val="0"/>
        <shadow val="0"/>
        <u val="none"/>
        <vertAlign val="baseline"/>
        <sz val="10"/>
        <name val="Aptos Narrow"/>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rgb="FF000000"/>
        <name val="Aptos Narrow"/>
        <family val="2"/>
        <scheme val="none"/>
      </font>
      <border diagonalUp="0" diagonalDown="0" outline="0">
        <left style="thin">
          <color rgb="FF156082"/>
        </left>
        <right/>
        <top style="double">
          <color rgb="FF156082"/>
        </top>
        <bottom style="thin">
          <color rgb="FF156082"/>
        </bottom>
      </border>
    </dxf>
    <dxf>
      <font>
        <b/>
        <i val="0"/>
        <strike val="0"/>
        <condense val="0"/>
        <extend val="0"/>
        <outline val="0"/>
        <shadow val="0"/>
        <u val="none"/>
        <vertAlign val="baseline"/>
        <sz val="10"/>
        <color rgb="FF000000"/>
        <name val="Aptos Narrow"/>
        <family val="2"/>
        <scheme val="none"/>
      </font>
      <alignment horizontal="general" vertical="bottom" textRotation="0" wrapText="1" indent="0" justifyLastLine="0" shrinkToFit="0" readingOrder="0"/>
      <border diagonalUp="0" diagonalDown="0" outline="0">
        <left/>
        <right/>
        <top style="thin">
          <color rgb="FF156082"/>
        </top>
        <bottom/>
      </border>
    </dxf>
    <dxf>
      <font>
        <strike val="0"/>
        <outline val="0"/>
        <shadow val="0"/>
        <u val="none"/>
        <vertAlign val="baseline"/>
        <sz val="11"/>
        <name val="Aptos Narrow"/>
        <family val="2"/>
        <scheme val="none"/>
      </font>
      <numFmt numFmtId="13" formatCode="0%"/>
    </dxf>
    <dxf>
      <border outline="0">
        <left style="thin">
          <color rgb="FF156082"/>
        </left>
      </border>
    </dxf>
    <dxf>
      <font>
        <strike val="0"/>
        <outline val="0"/>
        <shadow val="0"/>
        <u val="none"/>
        <vertAlign val="baseline"/>
        <sz val="10"/>
        <name val="Aptos Narrow"/>
        <family val="2"/>
        <scheme val="none"/>
      </font>
      <numFmt numFmtId="13" formatCode="0%"/>
    </dxf>
    <dxf>
      <font>
        <b val="0"/>
        <i val="0"/>
        <strike val="0"/>
        <condense val="0"/>
        <extend val="0"/>
        <outline val="0"/>
        <shadow val="0"/>
        <u val="none"/>
        <vertAlign val="baseline"/>
        <sz val="10"/>
        <color rgb="FF000000"/>
        <name val="Aptos Narrow"/>
        <family val="2"/>
        <scheme val="none"/>
      </font>
      <numFmt numFmtId="13" formatCode="0%"/>
      <fill>
        <patternFill patternType="solid">
          <fgColor rgb="FF156082"/>
          <bgColor rgb="FF21405E"/>
        </patternFill>
      </fill>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left" vertical="bottom" textRotation="0" wrapText="1" indent="2"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textRotation="0" wrapText="1" justifyLastLine="0" shrinkToFit="0" readingOrder="0"/>
    </dxf>
    <dxf>
      <font>
        <b/>
        <i val="0"/>
        <strike val="0"/>
        <condense val="0"/>
        <extend val="0"/>
        <outline val="0"/>
        <shadow val="0"/>
        <u val="none"/>
        <vertAlign val="baseline"/>
        <sz val="10"/>
        <color theme="0"/>
        <name val="Aptos Narrow"/>
        <family val="2"/>
        <scheme val="minor"/>
      </font>
      <fill>
        <patternFill patternType="none">
          <fgColor indexed="64"/>
          <bgColor rgb="FF21405E"/>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border diagonalUp="0" diagonalDown="0" outline="0">
        <left/>
        <right/>
        <top style="thin">
          <color rgb="FF21405E"/>
        </top>
        <bottom style="thin">
          <color rgb="FF21405E"/>
        </bottom>
      </border>
    </dxf>
    <dxf>
      <border>
        <top style="thin">
          <color rgb="FF21405E"/>
        </top>
      </border>
    </dxf>
    <dxf>
      <border diagonalUp="0" diagonalDown="0">
        <left style="thin">
          <color rgb="FF21405E"/>
        </left>
        <right style="thin">
          <color rgb="FF21405E"/>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dxf>
    <dxf>
      <border>
        <bottom style="thin">
          <color rgb="FF21405E"/>
        </bottom>
      </border>
    </dxf>
    <dxf>
      <font>
        <b/>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horizontal="center" vertical="bottom" textRotation="0" wrapText="1" indent="0" justifyLastLine="0" shrinkToFit="0" readingOrder="0"/>
      <border diagonalUp="0" diagonalDown="0" outline="0">
        <left/>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border diagonalUp="0" diagonalDown="0" outline="0">
        <left/>
        <right/>
        <top style="thin">
          <color rgb="FF21405E"/>
        </top>
        <bottom style="thin">
          <color rgb="FF21405E"/>
        </bottom>
      </border>
    </dxf>
    <dxf>
      <border>
        <top style="thin">
          <color rgb="FF21405E"/>
        </top>
      </border>
    </dxf>
    <dxf>
      <border diagonalUp="0" diagonalDown="0">
        <left style="thin">
          <color rgb="FF21405E"/>
        </left>
        <right style="thin">
          <color rgb="FF21405E"/>
        </right>
        <top style="thin">
          <color rgb="FF21405E"/>
        </top>
        <bottom style="thin">
          <color rgb="FF21405E"/>
        </bottom>
      </border>
    </dxf>
    <dxf>
      <font>
        <b val="0"/>
        <i val="0"/>
        <strike val="0"/>
        <condense val="0"/>
        <extend val="0"/>
        <outline val="0"/>
        <shadow val="0"/>
        <u val="none"/>
        <vertAlign val="baseline"/>
        <sz val="10"/>
        <color theme="1"/>
        <name val="Aptos Narrow"/>
        <family val="2"/>
        <scheme val="minor"/>
      </font>
      <alignment vertical="bottom" textRotation="0" wrapText="1" indent="0" justifyLastLine="0" shrinkToFit="0" readingOrder="0"/>
    </dxf>
    <dxf>
      <border>
        <bottom style="thin">
          <color rgb="FF21405E"/>
        </bottom>
      </border>
    </dxf>
    <dxf>
      <font>
        <b/>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strike val="0"/>
        <outline val="0"/>
        <shadow val="0"/>
        <u val="none"/>
        <vertAlign val="baseline"/>
        <sz val="10"/>
        <color theme="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bottom" textRotation="0" wrapText="0" indent="0" justifyLastLine="0" shrinkToFit="0" readingOrder="0"/>
    </dxf>
    <dxf>
      <font>
        <b val="0"/>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auto="1"/>
        </patternFill>
      </fill>
    </dxf>
    <dxf>
      <border outline="0">
        <right style="thin">
          <color theme="4"/>
        </right>
      </border>
    </dxf>
    <dxf>
      <font>
        <strike val="0"/>
        <outline val="0"/>
        <shadow val="0"/>
        <u val="none"/>
        <vertAlign val="baseline"/>
        <sz val="10"/>
        <name val="Aptos Narrow"/>
        <family val="2"/>
        <scheme val="minor"/>
      </font>
      <fill>
        <patternFill patternType="none">
          <fgColor indexed="64"/>
          <bgColor auto="1"/>
        </patternFill>
      </fill>
    </dxf>
    <dxf>
      <font>
        <b/>
        <i val="0"/>
        <strike val="0"/>
        <condense val="0"/>
        <extend val="0"/>
        <outline val="0"/>
        <shadow val="0"/>
        <u val="none"/>
        <vertAlign val="baseline"/>
        <sz val="10"/>
        <color theme="0"/>
        <name val="Aptos Narrow"/>
        <family val="2"/>
        <scheme val="minor"/>
      </font>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0"/>
        <name val="Aptos Narrow"/>
        <family val="2"/>
        <scheme val="minor"/>
      </font>
      <alignment horizontal="center" vertical="top"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bottom" textRotation="0" wrapText="0" indent="0" justifyLastLine="0" shrinkToFit="0" readingOrder="0"/>
    </dxf>
    <dxf>
      <font>
        <b val="0"/>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b/>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0"/>
        <color theme="1"/>
        <name val="Aptos Narrow"/>
        <family val="2"/>
        <scheme val="minor"/>
      </font>
      <fill>
        <patternFill patternType="none">
          <fgColor indexed="64"/>
          <bgColor auto="1"/>
        </patternFill>
      </fill>
      <alignment horizontal="center" vertical="top" textRotation="0" wrapText="0" indent="0" justifyLastLine="0" shrinkToFit="0" readingOrder="0"/>
    </dxf>
    <dxf>
      <font>
        <b/>
        <strike val="0"/>
        <outline val="0"/>
        <shadow val="0"/>
        <u val="none"/>
        <vertAlign val="baseline"/>
        <sz val="10"/>
        <color theme="1"/>
        <name val="Aptos Narrow"/>
        <family val="2"/>
        <scheme val="minor"/>
      </font>
      <alignment horizontal="general" vertical="bottom" textRotation="0" wrapText="1"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fill>
        <patternFill patternType="solid">
          <fgColor rgb="FF000000"/>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2" formatCode="0.00"/>
      <alignment horizontal="center" vertical="bottom" textRotation="0" wrapText="0" indent="0" justifyLastLine="0" shrinkToFit="0" readingOrder="0"/>
    </dxf>
    <dxf>
      <font>
        <b/>
        <i val="0"/>
        <strike val="0"/>
        <condense val="0"/>
        <extend val="0"/>
        <outline val="0"/>
        <shadow val="0"/>
        <u val="none"/>
        <vertAlign val="baseline"/>
        <sz val="10"/>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0"/>
        <color auto="1"/>
        <name val="Aptos Narrow"/>
        <family val="2"/>
        <scheme val="minor"/>
      </font>
      <numFmt numFmtId="13" formatCode="0%"/>
      <fill>
        <patternFill patternType="none">
          <fgColor indexed="64"/>
          <bgColor auto="1"/>
        </patternFill>
      </fill>
      <alignment horizontal="center" vertical="top" textRotation="0" wrapText="1" indent="0" justifyLastLine="0" shrinkToFit="0" readingOrder="0"/>
    </dxf>
    <dxf>
      <font>
        <b/>
        <strike val="0"/>
        <outline val="0"/>
        <shadow val="0"/>
        <u val="none"/>
        <vertAlign val="baseline"/>
        <sz val="10"/>
        <name val="Aptos Narrow"/>
        <family val="2"/>
        <scheme val="minor"/>
      </font>
      <alignment horizontal="general" vertical="bottom"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border diagonalUp="0" diagonalDown="0" outline="0">
        <left style="medium">
          <color rgb="FF21405E"/>
        </left>
        <right/>
        <top/>
        <bottom/>
      </border>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13" formatCode="0%"/>
      <fill>
        <patternFill patternType="none">
          <fgColor indexed="64"/>
          <bgColor indexed="65"/>
        </patternFill>
      </fill>
      <alignment horizontal="center" vertical="center" textRotation="0" wrapText="0" indent="0" justifyLastLine="0" shrinkToFit="0" readingOrder="0"/>
    </dxf>
    <dxf>
      <font>
        <b/>
        <strike val="0"/>
        <outline val="0"/>
        <shadow val="0"/>
        <u val="none"/>
        <vertAlign val="baseline"/>
        <sz val="10"/>
        <color auto="1"/>
        <name val="Aptos Narrow"/>
        <family val="2"/>
        <scheme val="minor"/>
      </font>
      <fill>
        <patternFill patternType="none">
          <fgColor indexed="64"/>
          <bgColor auto="1"/>
        </patternFill>
      </fill>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right style="medium">
          <color rgb="FF21405E"/>
        </right>
        <top/>
        <bottom/>
      </border>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style="medium">
          <color rgb="FF21405E"/>
        </left>
        <right/>
        <top/>
        <bottom/>
      </border>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right style="medium">
          <color rgb="FF21405E"/>
        </right>
        <top/>
        <bottom/>
      </border>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border diagonalUp="0" diagonalDown="0">
        <left style="medium">
          <color rgb="FF21405E"/>
        </left>
        <right/>
      </border>
    </dxf>
    <dxf>
      <font>
        <b/>
        <strike val="0"/>
        <outline val="0"/>
        <shadow val="0"/>
        <u val="none"/>
        <vertAlign val="baseline"/>
        <sz val="10"/>
        <color auto="1"/>
        <name val="Aptos Narrow"/>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b val="0"/>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8" formatCode="_-* #,##0_-;\-* #,##0_-;_-* &quot;-&quot;??_-;_-@_-"/>
      <border diagonalUp="0" diagonalDown="0" outline="0">
        <left/>
        <right/>
        <top/>
        <bottom/>
      </border>
    </dxf>
    <dxf>
      <font>
        <strike val="0"/>
        <outline val="0"/>
        <shadow val="0"/>
        <u val="none"/>
        <vertAlign val="baseline"/>
        <sz val="10"/>
        <color auto="1"/>
        <name val="Aptos Narrow"/>
        <family val="2"/>
        <scheme val="minor"/>
      </font>
      <numFmt numFmtId="168"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2" formatCode="0.00"/>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strike val="0"/>
        <outline val="0"/>
        <shadow val="0"/>
        <u val="none"/>
        <vertAlign val="baseline"/>
        <sz val="10"/>
        <name val="Aptos Narrow"/>
        <family val="2"/>
        <scheme val="minor"/>
      </font>
      <numFmt numFmtId="0" formatCode="General"/>
      <alignment horizontal="general" vertical="top" textRotation="0" wrapText="1" indent="0" justifyLastLine="0" shrinkToFit="0" readingOrder="0"/>
    </dxf>
    <dxf>
      <font>
        <b/>
        <strike val="0"/>
        <outline val="0"/>
        <shadow val="0"/>
        <u val="none"/>
        <vertAlign val="baseline"/>
        <sz val="10"/>
        <name val="Aptos Narrow"/>
        <family val="2"/>
        <scheme val="minor"/>
      </font>
      <alignment horizontal="general" vertical="top" textRotation="0" wrapText="1" indent="0" justifyLastLine="0" shrinkToFit="0" readingOrder="0"/>
    </dxf>
    <dxf>
      <font>
        <strike val="0"/>
        <outline val="0"/>
        <shadow val="0"/>
        <u val="none"/>
        <vertAlign val="baseline"/>
        <sz val="10"/>
        <name val="Aptos Narrow"/>
        <family val="2"/>
        <scheme val="minor"/>
      </font>
      <alignment horizontal="general" vertical="bottom" textRotation="0" wrapText="1" indent="0" justifyLastLine="0" shrinkToFit="0" readingOrder="0"/>
    </dxf>
    <dxf>
      <font>
        <strike val="0"/>
        <outline val="0"/>
        <shadow val="0"/>
        <u val="none"/>
        <vertAlign val="baseline"/>
        <sz val="10"/>
        <name val="Aptos Narrow"/>
        <family val="2"/>
        <scheme val="minor"/>
      </font>
      <fill>
        <patternFill>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2" formatCode="0.00"/>
      <alignment horizontal="center" vertical="top" textRotation="0" wrapText="0" indent="0" justifyLastLine="0" shrinkToFit="0" readingOrder="0"/>
    </dxf>
    <dxf>
      <font>
        <b/>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right/>
        <top style="thin">
          <color theme="4"/>
        </top>
        <bottom/>
      </border>
    </dxf>
    <dxf>
      <border outline="0">
        <left style="thin">
          <color theme="4"/>
        </left>
        <top style="thin">
          <color theme="4"/>
        </top>
      </border>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alignment vertical="top"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right/>
        <top style="thin">
          <color theme="4"/>
        </top>
        <bottom/>
      </border>
    </dxf>
    <dxf>
      <border outline="0">
        <left style="thin">
          <color theme="4"/>
        </left>
        <top style="thin">
          <color theme="4"/>
        </top>
      </border>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color rgb="FFFF000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fill>
        <patternFill patternType="none">
          <fgColor indexed="64"/>
          <bgColor auto="1"/>
        </patternFill>
      </fill>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indexed="65"/>
        </patternFill>
      </fill>
      <alignment horizontal="left" vertical="bottom" textRotation="0" wrapText="0" relativeIndent="-1" justifyLastLine="0" shrinkToFit="0" readingOrder="0"/>
    </dxf>
    <dxf>
      <font>
        <strike val="0"/>
        <outline val="0"/>
        <shadow val="0"/>
        <u val="none"/>
        <vertAlign val="baseline"/>
        <sz val="10"/>
        <name val="Aptos Narrow"/>
        <family val="2"/>
        <scheme val="minor"/>
      </font>
      <fill>
        <patternFill patternType="none">
          <fgColor indexed="64"/>
          <bgColor indexed="65"/>
        </patternFill>
      </fill>
    </dxf>
    <dxf>
      <font>
        <b/>
        <i val="0"/>
        <strike val="0"/>
        <condense val="0"/>
        <extend val="0"/>
        <outline val="0"/>
        <shadow val="0"/>
        <u val="none"/>
        <vertAlign val="baseline"/>
        <sz val="10"/>
        <color theme="0"/>
        <name val="Aptos Narrow"/>
        <family val="2"/>
        <scheme val="minor"/>
      </font>
      <fill>
        <patternFill patternType="none">
          <fgColor indexed="6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strike val="0"/>
        <outline val="0"/>
        <shadow val="0"/>
        <u val="none"/>
        <vertAlign val="baseline"/>
        <sz val="10"/>
        <name val="Aptos Narrow"/>
        <family val="2"/>
        <scheme val="minor"/>
      </font>
      <alignment horizontal="center" textRotation="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strike val="0"/>
        <outline val="0"/>
        <shadow val="0"/>
        <u val="none"/>
        <vertAlign val="baseline"/>
        <sz val="10"/>
        <name val="Aptos Narrow"/>
        <family val="2"/>
        <scheme val="minor"/>
      </font>
      <alignment horizontal="center" vertical="top"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bottom" textRotation="0" wrapText="0" indent="0" justifyLastLine="0" shrinkToFit="0" readingOrder="0"/>
    </dxf>
    <dxf>
      <font>
        <b val="0"/>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strike val="0"/>
        <outline val="0"/>
        <shadow val="0"/>
        <u val="none"/>
        <vertAlign val="baseline"/>
        <sz val="10"/>
        <name val="Aptos Narrow"/>
        <family val="2"/>
        <scheme val="minor"/>
      </font>
      <numFmt numFmtId="13" formatCode="0%"/>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b val="0"/>
        <strike val="0"/>
        <outline val="0"/>
        <shadow val="0"/>
        <u val="none"/>
        <vertAlign val="baseline"/>
        <sz val="10"/>
        <name val="Aptos Narrow"/>
        <family val="2"/>
        <scheme val="minor"/>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general" vertical="top" textRotation="0" wrapText="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strike val="0"/>
        <outline val="0"/>
        <shadow val="0"/>
        <u val="none"/>
        <vertAlign val="baseline"/>
        <sz val="10"/>
        <name val="Aptos Narrow"/>
        <family val="2"/>
        <scheme val="minor"/>
      </font>
      <alignment horizontal="general" vertical="top" textRotation="0" indent="0" justifyLastLine="0" shrinkToFit="0" readingOrder="0"/>
    </dxf>
    <dxf>
      <font>
        <b/>
        <i val="0"/>
        <strike val="0"/>
        <condense val="0"/>
        <extend val="0"/>
        <outline val="0"/>
        <shadow val="0"/>
        <u val="none"/>
        <vertAlign val="baseline"/>
        <sz val="10"/>
        <color theme="1"/>
        <name val="Aptos Narrow"/>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b val="0"/>
        <strike val="0"/>
        <outline val="0"/>
        <shadow val="0"/>
        <u val="none"/>
        <vertAlign val="baseline"/>
        <sz val="10"/>
        <color rgb="FFFF0000"/>
        <name val="Aptos Narrow"/>
        <family val="2"/>
        <scheme val="minor"/>
      </font>
      <numFmt numFmtId="0" formatCode="General"/>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strike val="0"/>
        <outline val="0"/>
        <shadow val="0"/>
        <u val="none"/>
        <vertAlign val="baseline"/>
        <sz val="10"/>
        <color rgb="FFFF0000"/>
        <name val="Aptos Narrow"/>
        <family val="2"/>
        <scheme val="minor"/>
      </font>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dxf>
    <dxf>
      <font>
        <strike val="0"/>
        <outline val="0"/>
        <shadow val="0"/>
        <u val="none"/>
        <vertAlign val="baseline"/>
        <sz val="10"/>
        <name val="Aptos Narrow"/>
        <family val="2"/>
        <scheme val="minor"/>
      </font>
      <fill>
        <patternFill patternType="none">
          <bgColor auto="1"/>
        </patternFill>
      </fill>
      <alignment horizontal="general" vertical="bottom" textRotation="0" wrapText="1" indent="0" justifyLastLine="0" shrinkToFit="0" readingOrder="0"/>
    </dxf>
    <dxf>
      <font>
        <strike val="0"/>
        <outline val="0"/>
        <shadow val="0"/>
        <u val="none"/>
        <vertAlign val="baseline"/>
        <sz val="10"/>
        <name val="Aptos Narrow"/>
        <family val="2"/>
        <scheme val="minor"/>
      </font>
      <fill>
        <patternFill patternType="none">
          <bgColor auto="1"/>
        </patternFill>
      </fill>
    </dxf>
    <dxf>
      <font>
        <b/>
        <i val="0"/>
        <strike val="0"/>
        <condense val="0"/>
        <extend val="0"/>
        <outline val="0"/>
        <shadow val="0"/>
        <u val="none"/>
        <vertAlign val="baseline"/>
        <sz val="10"/>
        <color theme="0"/>
        <name val="Aptos Narrow"/>
        <family val="2"/>
        <scheme val="minor"/>
      </font>
      <fill>
        <patternFill patternType="none">
          <fgColor theme="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numFmt numFmtId="13" formatCode="0%"/>
      <alignment horizontal="center" vertical="bottom" textRotation="0" wrapText="0" indent="0" justifyLastLine="0" shrinkToFit="0" readingOrder="0"/>
    </dxf>
    <dxf>
      <font>
        <b/>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bottom" textRotation="0" wrapText="0" indent="0" justifyLastLine="0" shrinkToFit="0" readingOrder="0"/>
    </dxf>
    <dxf>
      <font>
        <b val="0"/>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Aptos Narrow"/>
        <family val="2"/>
        <scheme val="minor"/>
      </font>
      <fill>
        <patternFill patternType="none">
          <fgColor indexed="64"/>
          <bgColor indexed="65"/>
        </patternFill>
      </fill>
      <alignment horizontal="center" vertical="bottom"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indexed="65"/>
        </patternFill>
      </fill>
      <alignment horizontal="left" vertical="bottom" textRotation="0" wrapText="0" relativeIndent="-1" justifyLastLine="0" shrinkToFit="0" readingOrder="0"/>
    </dxf>
    <dxf>
      <font>
        <strike val="0"/>
        <outline val="0"/>
        <shadow val="0"/>
        <u val="none"/>
        <vertAlign val="baseline"/>
        <sz val="10"/>
        <name val="Aptos Narrow"/>
        <family val="2"/>
        <scheme val="minor"/>
      </font>
      <fill>
        <patternFill patternType="none">
          <fgColor rgb="FF000000"/>
          <bgColor rgb="FFFFFFFF"/>
        </patternFill>
      </fill>
    </dxf>
    <dxf>
      <font>
        <b/>
        <i val="0"/>
        <strike val="0"/>
        <condense val="0"/>
        <extend val="0"/>
        <outline val="0"/>
        <shadow val="0"/>
        <u val="none"/>
        <vertAlign val="baseline"/>
        <sz val="10"/>
        <color theme="0"/>
        <name val="Aptos Narrow"/>
        <family val="2"/>
        <scheme val="minor"/>
      </font>
      <fill>
        <patternFill patternType="none">
          <fgColor indexed="64"/>
          <bgColor rgb="FF21405E"/>
        </patternFill>
      </fill>
      <alignment horizontal="center" vertical="bottom" textRotation="0" wrapText="0" indent="0" justifyLastLine="0" shrinkToFit="0" readingOrder="0"/>
    </dxf>
    <dxf>
      <font>
        <strike val="0"/>
        <outline val="0"/>
        <shadow val="0"/>
        <u val="none"/>
        <vertAlign val="baseline"/>
        <sz val="10"/>
        <color rgb="FF000000"/>
        <name val="Aptos Narrow"/>
        <family val="2"/>
        <scheme val="minor"/>
      </font>
      <numFmt numFmtId="168" formatCode="_-* #,##0_-;\-* #,##0_-;_-* &quot;-&quot;??_-;_-@_-"/>
      <fill>
        <patternFill patternType="none">
          <fgColor indexed="64"/>
          <bgColor indexed="65"/>
        </patternFill>
      </fill>
      <alignment horizontal="center" vertical="center" textRotation="0" wrapText="0" indent="0" justifyLastLine="0" shrinkToFit="0" readingOrder="0"/>
    </dxf>
    <dxf>
      <font>
        <b/>
        <strike val="0"/>
        <outline val="0"/>
        <shadow val="0"/>
        <u val="none"/>
        <vertAlign val="baseline"/>
        <sz val="10"/>
        <name val="Aptos Narrow"/>
        <family val="2"/>
        <scheme val="minor"/>
      </font>
      <fill>
        <patternFill patternType="none">
          <fgColor indexed="64"/>
          <bgColor auto="1"/>
        </patternFill>
      </fill>
      <alignment horizontal="lef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numFmt numFmtId="168" formatCode="_-* #,##0_-;\-* #,##0_-;_-* &quot;-&quot;??_-;_-@_-"/>
      <alignment horizontal="general" vertical="center" textRotation="0" wrapText="0" indent="0" justifyLastLine="0" shrinkToFit="0" readingOrder="0"/>
    </dxf>
    <dxf>
      <font>
        <strike val="0"/>
        <outline val="0"/>
        <shadow val="0"/>
        <u val="none"/>
        <vertAlign val="baseline"/>
        <sz val="10"/>
        <color theme="1"/>
        <name val="Aptos Narrow"/>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68" formatCode="_-* #,##0_-;\-* #,##0_-;_-* &quot;-&quot;??_-;_-@_-"/>
      <alignment horizontal="general" vertical="center" textRotation="0" wrapText="0" indent="0" justifyLastLine="0" shrinkToFit="0" readingOrder="0"/>
    </dxf>
    <dxf>
      <font>
        <strike val="0"/>
        <outline val="0"/>
        <shadow val="0"/>
        <u val="none"/>
        <vertAlign val="baseline"/>
        <sz val="10"/>
        <color theme="1"/>
        <name val="Aptos Narrow"/>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68" formatCode="_-* #,##0_-;\-* #,##0_-;_-* &quot;-&quot;??_-;_-@_-"/>
      <alignment horizontal="general" vertical="center" textRotation="0" wrapText="0" indent="0" justifyLastLine="0" shrinkToFit="0" readingOrder="0"/>
    </dxf>
    <dxf>
      <font>
        <strike val="0"/>
        <outline val="0"/>
        <shadow val="0"/>
        <u val="none"/>
        <vertAlign val="baseline"/>
        <sz val="10"/>
        <color theme="1"/>
        <name val="Aptos Narrow"/>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bottom" textRotation="0" wrapText="1" indent="0" justifyLastLine="0" shrinkToFit="0" readingOrder="0"/>
    </dxf>
    <dxf>
      <font>
        <b/>
        <strike val="0"/>
        <outline val="0"/>
        <shadow val="0"/>
        <u val="none"/>
        <vertAlign val="baseline"/>
        <sz val="10"/>
        <color theme="1"/>
        <name val="Aptos Narrow"/>
        <family val="2"/>
        <scheme val="minor"/>
      </font>
      <alignment horizontal="left" textRotation="0" wrapText="1"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numFmt numFmtId="175" formatCode="#,##0.00_ ;\-#,##0.00\ "/>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ptos Narrow"/>
        <family val="2"/>
        <scheme val="minor"/>
      </font>
      <alignment horizontal="left" vertical="bottom"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center" textRotation="0" wrapText="0" indent="0" justifyLastLine="0" shrinkToFit="0" readingOrder="0"/>
    </dxf>
    <dxf>
      <font>
        <b val="0"/>
        <strike val="0"/>
        <outline val="0"/>
        <shadow val="0"/>
        <u val="none"/>
        <vertAlign val="baseline"/>
        <sz val="10"/>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b val="0"/>
        <strike val="0"/>
        <outline val="0"/>
        <shadow val="0"/>
        <u val="none"/>
        <vertAlign val="baseline"/>
        <sz val="10"/>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name val="Aptos Narrow"/>
        <family val="2"/>
        <scheme val="minor"/>
      </font>
      <numFmt numFmtId="3" formatCode="#,##0"/>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textRotation="0" wrapText="0" indent="0" justifyLastLine="0" shrinkToFit="0" readingOrder="0"/>
    </dxf>
    <dxf>
      <font>
        <b/>
        <strike val="0"/>
        <outline val="0"/>
        <shadow val="0"/>
        <u val="none"/>
        <vertAlign val="baseline"/>
        <sz val="10"/>
        <color auto="1"/>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border diagonalUp="0" diagonalDown="0" outline="0">
        <left style="thin">
          <color theme="4"/>
        </left>
        <right style="thin">
          <color theme="4"/>
        </right>
        <top/>
        <bottom/>
      </border>
    </dxf>
    <dxf>
      <font>
        <b val="0"/>
        <i val="0"/>
        <strike val="0"/>
        <condense val="0"/>
        <extend val="0"/>
        <outline val="0"/>
        <shadow val="0"/>
        <u val="none"/>
        <vertAlign val="baseline"/>
        <sz val="10"/>
        <color auto="1"/>
        <name val="Aptos Narrow"/>
        <family val="2"/>
        <scheme val="minor"/>
      </font>
      <numFmt numFmtId="167" formatCode="#,##0_ ;\-#,##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val="0"/>
        <i val="0"/>
        <strike val="0"/>
        <condense val="0"/>
        <extend val="0"/>
        <outline val="0"/>
        <shadow val="0"/>
        <u val="none"/>
        <vertAlign val="baseline"/>
        <sz val="10"/>
        <color rgb="FF0E2841"/>
        <name val="Aptos Narrow"/>
        <family val="2"/>
        <scheme val="minor"/>
      </font>
      <numFmt numFmtId="167" formatCode="#,##0_ ;\-#,##0\ "/>
      <alignment horizontal="center" vertical="center" textRotation="0" wrapText="0" indent="0" justifyLastLine="0" shrinkToFit="0" readingOrder="0"/>
    </dxf>
    <dxf>
      <font>
        <b/>
        <strike val="0"/>
        <outline val="0"/>
        <shadow val="0"/>
        <u val="none"/>
        <vertAlign val="baseline"/>
        <sz val="10"/>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center" vertical="center" textRotation="0" wrapText="0" indent="0" justifyLastLine="0" shrinkToFit="0" readingOrder="0"/>
    </dxf>
    <dxf>
      <font>
        <b val="0"/>
        <strike val="0"/>
        <outline val="0"/>
        <shadow val="0"/>
        <u val="none"/>
        <vertAlign val="baseline"/>
        <sz val="10"/>
        <color auto="1"/>
        <name val="Aptos Narrow"/>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strike val="0"/>
        <outline val="0"/>
        <shadow val="0"/>
        <u val="none"/>
        <vertAlign val="baseline"/>
        <sz val="10"/>
        <color auto="1"/>
        <name val="Aptos Narrow"/>
        <family val="2"/>
        <scheme val="minor"/>
      </font>
      <numFmt numFmtId="3" formatCode="#,##0"/>
      <alignment horizontal="center" vertical="bottom" textRotation="0" wrapText="0" indent="0" justifyLastLine="0" shrinkToFit="0" readingOrder="0"/>
    </dxf>
    <dxf>
      <font>
        <b/>
        <strike val="0"/>
        <outline val="0"/>
        <shadow val="0"/>
        <u val="none"/>
        <vertAlign val="baseline"/>
        <sz val="10"/>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auto="1"/>
        <name val="Aptos Narrow"/>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0"/>
        <name val="Aptos Narrow"/>
        <family val="2"/>
        <scheme val="minor"/>
      </font>
      <alignment horizontal="left" textRotation="0" wrapText="1"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3" formatCode="0%"/>
    </dxf>
    <dxf>
      <font>
        <strike val="0"/>
        <outline val="0"/>
        <shadow val="0"/>
        <u val="none"/>
        <vertAlign val="baseline"/>
        <sz val="10"/>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0"/>
        <color auto="1"/>
        <name val="Aptos Narrow"/>
        <family val="2"/>
        <scheme val="minor"/>
      </font>
      <numFmt numFmtId="168" formatCode="_-* #,##0_-;\-* #,##0_-;_-* &quot;-&quot;??_-;_-@_-"/>
    </dxf>
    <dxf>
      <font>
        <strike val="0"/>
        <outline val="0"/>
        <shadow val="0"/>
        <u val="none"/>
        <vertAlign val="baseline"/>
        <sz val="10"/>
        <color auto="1"/>
        <name val="Aptos Narrow"/>
        <family val="2"/>
        <scheme val="minor"/>
      </font>
      <numFmt numFmtId="168" formatCode="_-* #,##0_-;\-* #,##0_-;_-* &quot;-&quot;??_-;_-@_-"/>
      <fill>
        <patternFill patternType="none">
          <fgColor indexed="64"/>
          <bgColor indexed="65"/>
        </patternFill>
      </fill>
    </dxf>
    <dxf>
      <font>
        <b val="0"/>
        <i val="0"/>
        <strike val="0"/>
        <condense val="0"/>
        <extend val="0"/>
        <outline val="0"/>
        <shadow val="0"/>
        <u val="none"/>
        <vertAlign val="baseline"/>
        <sz val="10"/>
        <color auto="1"/>
        <name val="Aptos Narrow"/>
        <family val="2"/>
        <scheme val="minor"/>
      </font>
      <alignment horizontal="left" textRotation="0" wrapText="1" indent="0" justifyLastLine="0" shrinkToFit="0" readingOrder="0"/>
    </dxf>
    <dxf>
      <font>
        <b/>
        <strike val="0"/>
        <outline val="0"/>
        <shadow val="0"/>
        <u val="none"/>
        <vertAlign val="baseline"/>
        <sz val="10"/>
        <color rgb="FFFF0000"/>
        <name val="Aptos Narrow"/>
        <family val="2"/>
        <scheme val="minor"/>
      </font>
      <alignment horizontal="left" textRotation="0" wrapText="1" indent="0" justifyLastLine="0" shrinkToFit="0" readingOrder="0"/>
    </dxf>
    <dxf>
      <font>
        <strike val="0"/>
        <outline val="0"/>
        <shadow val="0"/>
        <u val="none"/>
        <vertAlign val="baseline"/>
        <sz val="10"/>
        <color auto="1"/>
        <name val="Aptos Narrow"/>
        <family val="2"/>
        <scheme val="minor"/>
      </font>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0000"/>
        <name val="Aptos Narrow"/>
        <family val="2"/>
        <scheme val="minor"/>
      </font>
      <alignment horizontal="right"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indexed="64"/>
          <bgColor rgb="FF21405E"/>
        </patternFill>
      </fill>
      <alignment horizontal="center" vertical="top" textRotation="0" wrapText="1" indent="0" justifyLastLine="0" shrinkToFit="0" readingOrder="0"/>
    </dxf>
    <dxf>
      <font>
        <b val="0"/>
        <strike val="0"/>
        <outline val="0"/>
        <shadow val="0"/>
        <u val="none"/>
        <vertAlign val="baseline"/>
        <sz val="10"/>
        <name val="Aptos Narrow"/>
        <family val="2"/>
        <scheme val="minor"/>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name val="Aptos Narrow"/>
        <family val="2"/>
        <scheme val="minor"/>
      </font>
      <alignment horizontal="general"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b/>
        <strike val="0"/>
        <outline val="0"/>
        <shadow val="0"/>
        <u val="none"/>
        <vertAlign val="baseline"/>
        <sz val="10"/>
        <name val="Aptos Narrow"/>
        <family val="2"/>
        <scheme val="minor"/>
      </font>
      <alignment horizontal="general" vertical="bottom" textRotation="0" wrapText="1" indent="0"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1" indent="0" justifyLastLine="0" shrinkToFit="0" readingOrder="0"/>
    </dxf>
    <dxf>
      <font>
        <strike val="0"/>
        <outline val="0"/>
        <shadow val="0"/>
        <u val="none"/>
        <vertAlign val="baseline"/>
        <sz val="10"/>
        <name val="Aptos Narrow"/>
        <family val="2"/>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right" vertical="center" textRotation="0" wrapText="0" indent="0" justifyLastLine="0" shrinkToFit="0" readingOrder="0"/>
    </dxf>
    <dxf>
      <font>
        <strike val="0"/>
        <outline val="0"/>
        <shadow val="0"/>
        <u val="none"/>
        <vertAlign val="baseline"/>
        <sz val="10"/>
        <color auto="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bottom" textRotation="0" wrapText="1" indent="0" justifyLastLine="0" shrinkToFit="0" readingOrder="0"/>
    </dxf>
    <dxf>
      <font>
        <b/>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fill>
        <patternFill patternType="solid">
          <fgColor indexed="64"/>
          <bgColor rgb="FF21405E"/>
        </patternFill>
      </fill>
      <alignment horizontal="center" vertical="center" textRotation="0" wrapText="0" indent="0" justifyLastLine="0" shrinkToFit="0" readingOrder="0"/>
    </dxf>
    <dxf>
      <font>
        <b val="0"/>
        <strike val="0"/>
        <outline val="0"/>
        <shadow val="0"/>
        <u val="none"/>
        <vertAlign val="baseline"/>
        <sz val="10"/>
        <name val="Aptos Narrow"/>
        <family val="2"/>
        <scheme val="minor"/>
      </font>
      <fill>
        <patternFill patternType="none">
          <fgColor indexed="64"/>
          <bgColor auto="1"/>
        </patternFill>
      </fill>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name val="Aptos Narrow"/>
        <family val="2"/>
        <scheme val="minor"/>
      </font>
      <alignment textRotation="0" wrapText="1" justifyLastLine="0" shrinkToFit="0" readingOrder="0"/>
    </dxf>
    <dxf>
      <font>
        <b/>
        <i val="0"/>
        <strike val="0"/>
        <condense val="0"/>
        <extend val="0"/>
        <outline val="0"/>
        <shadow val="0"/>
        <u val="none"/>
        <vertAlign val="baseline"/>
        <sz val="10"/>
        <color rgb="FFFFFFFF"/>
        <name val="Aptos Narrow"/>
        <family val="2"/>
        <scheme val="minor"/>
      </font>
      <fill>
        <patternFill patternType="solid">
          <fgColor rgb="FF156082"/>
          <bgColor rgb="FF21405E"/>
        </patternFill>
      </fill>
      <alignment horizontal="center" vertical="center" textRotation="0" wrapText="1" indent="0" justifyLastLine="0" shrinkToFit="0" readingOrder="0"/>
    </dxf>
    <dxf>
      <font>
        <b val="0"/>
        <strike val="0"/>
        <outline val="0"/>
        <shadow val="0"/>
        <u val="none"/>
        <vertAlign val="baseline"/>
        <sz val="10"/>
        <color auto="1"/>
        <name val="Aptos Narrow"/>
        <family val="2"/>
        <scheme val="minor"/>
      </font>
      <numFmt numFmtId="165" formatCode="_(* #,##0_);_(* \(#,##0\);_(* &quot;-&quot;??_);_(@_)"/>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val="0"/>
        <i val="0"/>
        <strike val="0"/>
        <condense val="0"/>
        <extend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strike val="0"/>
        <outline val="0"/>
        <shadow val="0"/>
        <u val="none"/>
        <vertAlign val="baseline"/>
        <sz val="10"/>
        <color auto="1"/>
        <name val="Aptos Narrow"/>
        <family val="2"/>
        <scheme val="minor"/>
      </font>
      <numFmt numFmtId="165" formatCode="_(* #,##0_);_(* \(#,##0\);_(* &quot;-&quot;??_);_(@_)"/>
      <alignment horizontal="right" vertical="center" textRotation="0" wrapText="0"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dxf>
    <dxf>
      <font>
        <b/>
        <i val="0"/>
        <strike val="0"/>
        <condense val="0"/>
        <extend val="0"/>
        <outline val="0"/>
        <shadow val="0"/>
        <u val="none"/>
        <vertAlign val="baseline"/>
        <sz val="10"/>
        <color theme="0"/>
        <name val="Aptos Narrow"/>
        <family val="2"/>
        <scheme val="minor"/>
      </font>
      <fill>
        <patternFill patternType="solid">
          <fgColor theme="4"/>
          <bgColor rgb="FF21405E"/>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strike val="0"/>
        <outline val="0"/>
        <shadow val="0"/>
        <u/>
        <vertAlign val="baseline"/>
        <sz val="10"/>
        <color theme="1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rgb="FFFFFFFF"/>
        <name val="Aptos Narrow"/>
        <family val="2"/>
        <scheme val="minor"/>
      </font>
      <fill>
        <patternFill patternType="solid">
          <fgColor indexed="64"/>
          <bgColor rgb="FF21405E"/>
        </patternFill>
      </fill>
      <alignment horizontal="center" vertical="center" textRotation="0" wrapText="1" indent="0" justifyLastLine="0" shrinkToFit="0" readingOrder="0"/>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numFmt numFmtId="3" formatCode="#,##0"/>
    </dxf>
    <dxf>
      <font>
        <strike val="0"/>
        <outline val="0"/>
        <shadow val="0"/>
        <u val="none"/>
        <vertAlign val="baseline"/>
        <sz val="10"/>
        <name val="Aptos Narrow"/>
        <family val="2"/>
        <scheme val="minor"/>
      </font>
      <numFmt numFmtId="3" formatCode="#,##0"/>
    </dxf>
    <dxf>
      <font>
        <b/>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theme="1"/>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alignment horizontal="general" vertical="center" textRotation="0" wrapText="1" indent="0" justifyLastLine="0" shrinkToFit="0" readingOrder="0"/>
    </dxf>
    <dxf>
      <font>
        <strike val="0"/>
        <outline val="0"/>
        <shadow val="0"/>
        <u val="none"/>
        <sz val="10"/>
        <color theme="1"/>
        <name val="Aptos Narrow"/>
        <family val="2"/>
        <scheme val="minor"/>
      </font>
    </dxf>
    <dxf>
      <font>
        <b/>
        <i val="0"/>
        <strike val="0"/>
        <condense val="0"/>
        <extend val="0"/>
        <outline val="0"/>
        <shadow val="0"/>
        <u val="none"/>
        <vertAlign val="baseline"/>
        <sz val="10"/>
        <color theme="1"/>
        <name val="Aptos Narrow"/>
        <family val="2"/>
        <scheme val="minor"/>
      </font>
      <fill>
        <patternFill patternType="none">
          <fgColor indexed="64"/>
          <bgColor indexed="65"/>
        </patternFill>
      </fill>
    </dxf>
    <dxf>
      <font>
        <strike val="0"/>
        <outline val="0"/>
        <shadow val="0"/>
        <u val="none"/>
        <sz val="10"/>
        <color theme="1"/>
        <name val="Aptos Narrow"/>
        <family val="2"/>
        <scheme val="minor"/>
      </font>
    </dxf>
    <dxf>
      <font>
        <strike val="0"/>
        <outline val="0"/>
        <shadow val="0"/>
        <u val="none"/>
        <sz val="10"/>
        <color theme="1"/>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b/>
        <strike val="0"/>
        <outline val="0"/>
        <shadow val="0"/>
        <u val="none"/>
        <vertAlign val="baseline"/>
        <sz val="10"/>
        <color theme="1"/>
        <name val="Aptos Narrow"/>
        <family val="2"/>
        <scheme val="minor"/>
      </font>
      <alignment horizontal="general" vertical="top" textRotation="0" wrapText="1" indent="0" justifyLastLine="0" shrinkToFit="0" readingOrder="0"/>
    </dxf>
    <dxf>
      <font>
        <strike val="0"/>
        <outline val="0"/>
        <shadow val="0"/>
        <u val="none"/>
        <vertAlign val="baseline"/>
        <sz val="10"/>
        <color theme="1"/>
        <name val="Aptos Narrow"/>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alignment vertical="center" textRotation="0" indent="0" justifyLastLine="0" shrinkToFit="0" readingOrder="0"/>
    </dxf>
    <dxf>
      <font>
        <b val="0"/>
        <i val="0"/>
        <strike val="0"/>
        <condense val="0"/>
        <extend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0"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b/>
        <strike val="0"/>
        <outline val="0"/>
        <shadow val="0"/>
        <u val="none"/>
        <vertAlign val="baseline"/>
        <sz val="10"/>
        <name val="Aptos Narrow"/>
        <family val="2"/>
        <scheme val="minor"/>
      </font>
      <alignment horizontal="left" vertical="top" textRotation="0" wrapText="1" indent="0" justifyLastLine="0" shrinkToFit="0" readingOrder="0"/>
    </dxf>
    <dxf>
      <font>
        <strike val="0"/>
        <outline val="0"/>
        <shadow val="0"/>
        <u val="none"/>
        <vertAlign val="baseline"/>
        <sz val="10"/>
        <name val="Aptos Narrow"/>
        <family val="2"/>
        <scheme val="minor"/>
      </font>
      <alignment horizontal="left" vertical="top" textRotation="0" wrapText="1" indent="0" justifyLastLine="0" shrinkToFit="0" readingOrder="0"/>
    </dxf>
    <dxf>
      <font>
        <b/>
        <i val="0"/>
        <strike val="0"/>
        <condense val="0"/>
        <extend val="0"/>
        <outline val="0"/>
        <shadow val="0"/>
        <u val="none"/>
        <vertAlign val="baseline"/>
        <sz val="10"/>
        <color theme="0"/>
        <name val="Aptos Narrow"/>
        <family val="2"/>
        <scheme val="minor"/>
      </font>
      <fill>
        <patternFill patternType="solid">
          <fgColor indexed="64"/>
          <bgColor rgb="FF21405E"/>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right/>
        <top style="thin">
          <color rgb="FF156082"/>
        </top>
        <bottom/>
      </border>
    </dxf>
    <dxf>
      <font>
        <strike val="0"/>
        <outline val="0"/>
        <shadow val="0"/>
        <vertAlign val="baseline"/>
        <name val="Aptos Narrow"/>
        <family val="2"/>
        <scheme val="minor"/>
      </font>
      <alignment horizontal="left" vertical="top" textRotation="0" wrapText="1" indent="0" justifyLastLine="0" shrinkToFit="0" readingOrder="0"/>
      <border diagonalUp="0" diagonalDown="0" outline="0">
        <left/>
        <right/>
        <top style="thin">
          <color rgb="FF156082"/>
        </top>
        <bottom/>
      </border>
    </dxf>
    <dxf>
      <font>
        <b/>
        <i val="0"/>
        <strike val="0"/>
        <condense val="0"/>
        <extend val="0"/>
        <outline val="0"/>
        <shadow val="0"/>
        <u val="none"/>
        <vertAlign val="baseline"/>
        <sz val="10"/>
        <color rgb="FF000000"/>
        <name val="Aptos Narrow"/>
        <family val="2"/>
        <scheme val="minor"/>
      </font>
      <alignment horizontal="left" vertical="top" textRotation="0" wrapText="1" indent="0" justifyLastLine="0" shrinkToFit="0" readingOrder="0"/>
      <border diagonalUp="0" diagonalDown="0" outline="0">
        <left/>
        <right/>
        <top style="thin">
          <color rgb="FF156082"/>
        </top>
        <bottom/>
      </border>
    </dxf>
    <dxf>
      <border outline="0">
        <left style="thin">
          <color rgb="FF156082"/>
        </left>
        <right style="thin">
          <color rgb="FF156082"/>
        </right>
        <top style="thin">
          <color rgb="FF156082"/>
        </top>
        <bottom style="thin">
          <color rgb="FF156082"/>
        </bottom>
      </border>
    </dxf>
    <dxf>
      <font>
        <strike val="0"/>
        <outline val="0"/>
        <shadow val="0"/>
        <vertAlign val="baseline"/>
        <name val="Aptos Narrow"/>
        <family val="2"/>
        <scheme val="minor"/>
      </font>
    </dxf>
    <dxf>
      <font>
        <b/>
        <i val="0"/>
        <strike val="0"/>
        <condense val="0"/>
        <extend val="0"/>
        <outline val="0"/>
        <shadow val="0"/>
        <u val="none"/>
        <vertAlign val="baseline"/>
        <sz val="10"/>
        <color rgb="FFFFFFFF"/>
        <name val="Aptos Narrow"/>
        <family val="2"/>
        <scheme val="minor"/>
      </font>
      <fill>
        <patternFill patternType="solid">
          <fgColor rgb="FF156082"/>
          <bgColor rgb="FF21405E"/>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val="0"/>
        <i val="0"/>
        <strike val="0"/>
        <condense val="0"/>
        <extend val="0"/>
        <outline val="0"/>
        <shadow val="0"/>
        <u val="none"/>
        <vertAlign val="baseline"/>
        <sz val="10"/>
        <color theme="1"/>
        <name val="Aptos Narrow"/>
        <family val="2"/>
        <scheme val="minor"/>
      </font>
      <alignment horizontal="center"/>
    </dxf>
    <dxf>
      <font>
        <b/>
        <i val="0"/>
        <strike val="0"/>
        <condense val="0"/>
        <extend val="0"/>
        <outline val="0"/>
        <shadow val="0"/>
        <u val="none"/>
        <vertAlign val="baseline"/>
        <sz val="10"/>
        <color theme="1"/>
        <name val="Aptos Narrow"/>
        <family val="2"/>
        <scheme val="minor"/>
      </font>
      <alignment textRotation="0" wrapText="1" justifyLastLine="0" shrinkToFit="0" readingOrder="0"/>
    </dxf>
    <dxf>
      <font>
        <b val="0"/>
        <i val="0"/>
        <strike val="0"/>
        <condense val="0"/>
        <extend val="0"/>
        <outline val="0"/>
        <shadow val="0"/>
        <u val="none"/>
        <vertAlign val="baseline"/>
        <sz val="10"/>
        <color theme="1"/>
        <name val="Aptos Narrow"/>
        <family val="2"/>
        <scheme val="minor"/>
      </font>
    </dxf>
    <dxf>
      <font>
        <b/>
        <i val="0"/>
        <strike val="0"/>
        <condense val="0"/>
        <extend val="0"/>
        <outline val="0"/>
        <shadow val="0"/>
        <u val="none"/>
        <vertAlign val="baseline"/>
        <sz val="10"/>
        <color rgb="FFFFFFFF"/>
        <name val="Aptos Narrow"/>
        <family val="2"/>
        <scheme val="minor"/>
      </font>
      <fill>
        <patternFill patternType="solid">
          <fgColor rgb="FF156082"/>
          <bgColor rgb="FF21405E"/>
        </patternFill>
      </fill>
      <alignment horizontal="center" vertical="center" textRotation="0" wrapText="0" indent="0" justifyLastLine="0" shrinkToFit="0" readingOrder="0"/>
    </dxf>
    <dxf>
      <font>
        <strike val="0"/>
        <outline val="0"/>
        <shadow val="0"/>
        <u val="none"/>
        <vertAlign val="baseline"/>
        <sz val="10"/>
        <color theme="1"/>
        <name val="Aptos Narrow"/>
        <family val="2"/>
        <scheme val="minor"/>
      </font>
      <alignment horizontal="center"/>
    </dxf>
    <dxf>
      <font>
        <b/>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fill>
        <patternFill patternType="solid">
          <fgColor indexed="64"/>
          <bgColor rgb="FF21405E"/>
        </patternFill>
      </fill>
      <alignment horizontal="center" vertical="center" textRotation="0" wrapText="1" indent="0" justifyLastLine="0" shrinkToFit="0" readingOrder="0"/>
    </dxf>
    <dxf>
      <font>
        <b/>
        <strike val="0"/>
        <outline val="0"/>
        <shadow val="0"/>
        <u val="none"/>
        <sz val="10"/>
        <name val="Aptos Narrow"/>
        <family val="2"/>
        <scheme val="minor"/>
      </font>
      <numFmt numFmtId="168" formatCode="_-* #,##0_-;\-* #,##0_-;_-* &quot;-&quot;??_-;_-@_-"/>
    </dxf>
    <dxf>
      <font>
        <b val="0"/>
        <i val="0"/>
        <strike val="0"/>
        <condense val="0"/>
        <extend val="0"/>
        <outline val="0"/>
        <shadow val="0"/>
        <u val="none"/>
        <vertAlign val="baseline"/>
        <sz val="10"/>
        <color theme="1"/>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strike val="0"/>
        <outline val="0"/>
        <shadow val="0"/>
        <u val="none"/>
        <sz val="10"/>
        <name val="Aptos Narrow"/>
        <family val="2"/>
        <scheme val="minor"/>
      </font>
      <numFmt numFmtId="168" formatCode="_-* #,##0_-;\-* #,##0_-;_-* &quot;-&quot;??_-;_-@_-"/>
    </dxf>
    <dxf>
      <font>
        <b val="0"/>
        <i val="0"/>
        <strike val="0"/>
        <condense val="0"/>
        <extend val="0"/>
        <outline val="0"/>
        <shadow val="0"/>
        <u val="none"/>
        <vertAlign val="baseline"/>
        <sz val="10"/>
        <color auto="1"/>
        <name val="Aptos Narrow"/>
        <family val="2"/>
        <scheme val="minor"/>
      </font>
      <alignment horizontal="left" vertical="top" textRotation="0" wrapText="1" indent="0" justifyLastLine="0" shrinkToFit="0" readingOrder="0"/>
    </dxf>
    <dxf>
      <font>
        <strike val="0"/>
        <outline val="0"/>
        <shadow val="0"/>
        <u val="none"/>
        <sz val="10"/>
        <name val="Aptos Narrow"/>
        <family val="2"/>
        <scheme val="minor"/>
      </font>
    </dxf>
    <dxf>
      <font>
        <strike val="0"/>
        <outline val="0"/>
        <shadow val="0"/>
        <u val="none"/>
        <sz val="10"/>
        <name val="Aptos Narrow"/>
        <family val="2"/>
        <scheme val="minor"/>
      </font>
      <alignment horizontal="center" textRotation="0" indent="0" justifyLastLine="0" shrinkToFit="0" readingOrder="0"/>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156082"/>
        </left>
      </border>
    </dxf>
    <dxf>
      <border>
        <left style="thin">
          <color rgb="FF156082"/>
        </left>
      </border>
    </dxf>
    <dxf>
      <border>
        <top style="thin">
          <color rgb="FF156082"/>
        </top>
      </border>
    </dxf>
    <dxf>
      <border>
        <top style="thin">
          <color rgb="FF156082"/>
        </top>
      </border>
    </dxf>
    <dxf>
      <font>
        <b/>
        <color rgb="FF000000"/>
      </font>
    </dxf>
    <dxf>
      <font>
        <b/>
        <color rgb="FF000000"/>
      </font>
    </dxf>
    <dxf>
      <font>
        <b/>
        <color rgb="FF000000"/>
      </font>
      <border>
        <top style="double">
          <color rgb="FF156082"/>
        </top>
      </border>
    </dxf>
    <dxf>
      <font>
        <b/>
        <color rgb="FFFFFFFF"/>
      </font>
      <fill>
        <patternFill patternType="solid">
          <fgColor rgb="FF156082"/>
          <bgColor rgb="FF156082"/>
        </patternFill>
      </fill>
    </dxf>
    <dxf>
      <font>
        <color rgb="FF000000"/>
      </font>
      <border>
        <left style="thin">
          <color rgb="FF156082"/>
        </left>
        <right style="thin">
          <color rgb="FF156082"/>
        </right>
        <top style="thin">
          <color rgb="FF156082"/>
        </top>
        <bottom style="thin">
          <color rgb="FF156082"/>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87A7BD"/>
        </left>
      </border>
    </dxf>
    <dxf>
      <border>
        <left style="thin">
          <color rgb="FF87A7BD"/>
        </left>
      </border>
    </dxf>
    <dxf>
      <border>
        <top style="thin">
          <color rgb="FF87A7BD"/>
        </top>
      </border>
    </dxf>
    <dxf>
      <border>
        <top style="thin">
          <color rgb="FF87A7BD"/>
        </top>
      </border>
    </dxf>
    <dxf>
      <font>
        <b/>
        <color rgb="FF000000"/>
      </font>
    </dxf>
    <dxf>
      <font>
        <b/>
        <color rgb="FF000000"/>
      </font>
    </dxf>
    <dxf>
      <font>
        <b/>
        <color rgb="FF000000"/>
      </font>
      <border>
        <top style="double">
          <color rgb="FF87A7BD"/>
        </top>
      </border>
    </dxf>
    <dxf>
      <font>
        <b/>
        <color rgb="FFFFFFFF"/>
      </font>
      <fill>
        <patternFill patternType="solid">
          <fgColor rgb="FF87A7BD"/>
          <bgColor rgb="FF87A7BD"/>
        </patternFill>
      </fill>
    </dxf>
    <dxf>
      <font>
        <color rgb="FF000000"/>
      </font>
      <border>
        <left style="thin">
          <color rgb="FF87A7BD"/>
        </left>
        <right style="thin">
          <color rgb="FF87A7BD"/>
        </right>
        <top style="thin">
          <color rgb="FF87A7BD"/>
        </top>
        <bottom style="thin">
          <color rgb="FF87A7BD"/>
        </bottom>
      </border>
    </dxf>
  </dxfs>
  <tableStyles count="11" defaultTableStyle="TableStyleMedium2" defaultPivotStyle="PivotStyleLight16">
    <tableStyle name="TableStyleLight13 2" pivot="0" count="9" xr9:uid="{4C407C72-1CCD-480B-ADAB-96B6D336952A}">
      <tableStyleElement type="wholeTable" dxfId="781"/>
      <tableStyleElement type="headerRow" dxfId="780"/>
      <tableStyleElement type="totalRow" dxfId="779"/>
      <tableStyleElement type="firstColumn" dxfId="778"/>
      <tableStyleElement type="lastColumn" dxfId="777"/>
      <tableStyleElement type="firstRowStripe" dxfId="776"/>
      <tableStyleElement type="secondRowStripe" dxfId="775"/>
      <tableStyleElement type="firstColumnStripe" dxfId="774"/>
      <tableStyleElement type="secondColumnStripe" dxfId="773"/>
    </tableStyle>
    <tableStyle name="TableStyleLight9 10" pivot="0" count="9" xr9:uid="{F7C28D37-0D19-4260-9B98-DE03CA2B363E}">
      <tableStyleElement type="wholeTable" dxfId="772"/>
      <tableStyleElement type="headerRow" dxfId="771"/>
      <tableStyleElement type="totalRow" dxfId="770"/>
      <tableStyleElement type="firstColumn" dxfId="769"/>
      <tableStyleElement type="lastColumn" dxfId="768"/>
      <tableStyleElement type="firstRowStripe" dxfId="767"/>
      <tableStyleElement type="secondRowStripe" dxfId="766"/>
      <tableStyleElement type="firstColumnStripe" dxfId="765"/>
      <tableStyleElement type="secondColumnStripe" dxfId="764"/>
    </tableStyle>
    <tableStyle name="TableStyleLight9 11" pivot="0" count="9" xr9:uid="{AA31EA73-0BC2-4D3C-BB07-6E49696DA03C}">
      <tableStyleElement type="wholeTable" dxfId="763"/>
      <tableStyleElement type="headerRow" dxfId="762"/>
      <tableStyleElement type="totalRow" dxfId="761"/>
      <tableStyleElement type="firstColumn" dxfId="760"/>
      <tableStyleElement type="lastColumn" dxfId="759"/>
      <tableStyleElement type="firstRowStripe" dxfId="758"/>
      <tableStyleElement type="secondRowStripe" dxfId="757"/>
      <tableStyleElement type="firstColumnStripe" dxfId="756"/>
      <tableStyleElement type="secondColumnStripe" dxfId="755"/>
    </tableStyle>
    <tableStyle name="TableStyleLight9 2" pivot="0" count="9" xr9:uid="{751D7D3D-919D-4999-942F-1ED5BB08EC70}">
      <tableStyleElement type="wholeTable" dxfId="754"/>
      <tableStyleElement type="headerRow" dxfId="753"/>
      <tableStyleElement type="totalRow" dxfId="752"/>
      <tableStyleElement type="firstColumn" dxfId="751"/>
      <tableStyleElement type="lastColumn" dxfId="750"/>
      <tableStyleElement type="firstRowStripe" dxfId="749"/>
      <tableStyleElement type="secondRowStripe" dxfId="748"/>
      <tableStyleElement type="firstColumnStripe" dxfId="747"/>
      <tableStyleElement type="secondColumnStripe" dxfId="746"/>
    </tableStyle>
    <tableStyle name="TableStyleLight9 3" pivot="0" count="9" xr9:uid="{A9267637-2FAB-4878-98EA-CD2DAF1BB73A}">
      <tableStyleElement type="wholeTable" dxfId="745"/>
      <tableStyleElement type="headerRow" dxfId="744"/>
      <tableStyleElement type="totalRow" dxfId="743"/>
      <tableStyleElement type="firstColumn" dxfId="742"/>
      <tableStyleElement type="lastColumn" dxfId="741"/>
      <tableStyleElement type="firstRowStripe" dxfId="740"/>
      <tableStyleElement type="secondRowStripe" dxfId="739"/>
      <tableStyleElement type="firstColumnStripe" dxfId="738"/>
      <tableStyleElement type="secondColumnStripe" dxfId="737"/>
    </tableStyle>
    <tableStyle name="TableStyleLight9 4" pivot="0" count="9" xr9:uid="{55E84CA3-D6F4-4F9A-9C8A-23D701B05657}">
      <tableStyleElement type="wholeTable" dxfId="736"/>
      <tableStyleElement type="headerRow" dxfId="735"/>
      <tableStyleElement type="totalRow" dxfId="734"/>
      <tableStyleElement type="firstColumn" dxfId="733"/>
      <tableStyleElement type="lastColumn" dxfId="732"/>
      <tableStyleElement type="firstRowStripe" dxfId="731"/>
      <tableStyleElement type="secondRowStripe" dxfId="730"/>
      <tableStyleElement type="firstColumnStripe" dxfId="729"/>
      <tableStyleElement type="secondColumnStripe" dxfId="728"/>
    </tableStyle>
    <tableStyle name="TableStyleLight9 5" pivot="0" count="9" xr9:uid="{0791734F-5EE1-46BF-88B6-EE4EF6FAC842}">
      <tableStyleElement type="wholeTable" dxfId="727"/>
      <tableStyleElement type="headerRow" dxfId="726"/>
      <tableStyleElement type="totalRow" dxfId="725"/>
      <tableStyleElement type="firstColumn" dxfId="724"/>
      <tableStyleElement type="lastColumn" dxfId="723"/>
      <tableStyleElement type="firstRowStripe" dxfId="722"/>
      <tableStyleElement type="secondRowStripe" dxfId="721"/>
      <tableStyleElement type="firstColumnStripe" dxfId="720"/>
      <tableStyleElement type="secondColumnStripe" dxfId="719"/>
    </tableStyle>
    <tableStyle name="TableStyleLight9 6" pivot="0" count="9" xr9:uid="{FC17CCC5-160C-469B-BFB2-BC41A5500339}">
      <tableStyleElement type="wholeTable" dxfId="718"/>
      <tableStyleElement type="headerRow" dxfId="717"/>
      <tableStyleElement type="totalRow" dxfId="716"/>
      <tableStyleElement type="firstColumn" dxfId="715"/>
      <tableStyleElement type="lastColumn" dxfId="714"/>
      <tableStyleElement type="firstRowStripe" dxfId="713"/>
      <tableStyleElement type="secondRowStripe" dxfId="712"/>
      <tableStyleElement type="firstColumnStripe" dxfId="711"/>
      <tableStyleElement type="secondColumnStripe" dxfId="710"/>
    </tableStyle>
    <tableStyle name="TableStyleLight9 7" pivot="0" count="9" xr9:uid="{84BAF3A3-D3DF-414E-9319-AA8C8E755690}">
      <tableStyleElement type="wholeTable" dxfId="709"/>
      <tableStyleElement type="headerRow" dxfId="708"/>
      <tableStyleElement type="totalRow" dxfId="707"/>
      <tableStyleElement type="firstColumn" dxfId="706"/>
      <tableStyleElement type="lastColumn" dxfId="705"/>
      <tableStyleElement type="firstRowStripe" dxfId="704"/>
      <tableStyleElement type="secondRowStripe" dxfId="703"/>
      <tableStyleElement type="firstColumnStripe" dxfId="702"/>
      <tableStyleElement type="secondColumnStripe" dxfId="701"/>
    </tableStyle>
    <tableStyle name="TableStyleLight9 8" pivot="0" count="9" xr9:uid="{5D2CA036-CE33-462D-A1FF-399907D969D5}">
      <tableStyleElement type="wholeTable" dxfId="700"/>
      <tableStyleElement type="headerRow" dxfId="699"/>
      <tableStyleElement type="totalRow" dxfId="698"/>
      <tableStyleElement type="firstColumn" dxfId="697"/>
      <tableStyleElement type="lastColumn" dxfId="696"/>
      <tableStyleElement type="firstRowStripe" dxfId="695"/>
      <tableStyleElement type="secondRowStripe" dxfId="694"/>
      <tableStyleElement type="firstColumnStripe" dxfId="693"/>
      <tableStyleElement type="secondColumnStripe" dxfId="692"/>
    </tableStyle>
    <tableStyle name="TableStyleLight9 9" pivot="0" count="9" xr9:uid="{0EDB4EFD-E57A-4D43-97DF-21DCEC5F072C}">
      <tableStyleElement type="wholeTable" dxfId="691"/>
      <tableStyleElement type="headerRow" dxfId="690"/>
      <tableStyleElement type="totalRow" dxfId="689"/>
      <tableStyleElement type="firstColumn" dxfId="688"/>
      <tableStyleElement type="lastColumn" dxfId="687"/>
      <tableStyleElement type="firstRowStripe" dxfId="686"/>
      <tableStyleElement type="secondRowStripe" dxfId="685"/>
      <tableStyleElement type="firstColumnStripe" dxfId="684"/>
      <tableStyleElement type="secondColumnStripe" dxfId="683"/>
    </tableStyle>
  </tableStyles>
  <colors>
    <mruColors>
      <color rgb="FF21405E"/>
      <color rgb="FFB6812F"/>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2552700</xdr:colOff>
      <xdr:row>0</xdr:row>
      <xdr:rowOff>152400</xdr:rowOff>
    </xdr:from>
    <xdr:to>
      <xdr:col>3</xdr:col>
      <xdr:colOff>4677024</xdr:colOff>
      <xdr:row>3</xdr:row>
      <xdr:rowOff>156210</xdr:rowOff>
    </xdr:to>
    <xdr:pic>
      <xdr:nvPicPr>
        <xdr:cNvPr id="2" name="Picture 1">
          <a:extLst>
            <a:ext uri="{FF2B5EF4-FFF2-40B4-BE49-F238E27FC236}">
              <a16:creationId xmlns:a16="http://schemas.microsoft.com/office/drawing/2014/main" id="{774A3844-0445-4676-AFE5-1541F4774C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05950" y="152400"/>
          <a:ext cx="2116704" cy="655320"/>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1147536</xdr:colOff>
      <xdr:row>1</xdr:row>
      <xdr:rowOff>6804</xdr:rowOff>
    </xdr:from>
    <xdr:to>
      <xdr:col>11</xdr:col>
      <xdr:colOff>1556090</xdr:colOff>
      <xdr:row>4</xdr:row>
      <xdr:rowOff>18869</xdr:rowOff>
    </xdr:to>
    <xdr:pic>
      <xdr:nvPicPr>
        <xdr:cNvPr id="2" name="Picture 1">
          <a:extLst>
            <a:ext uri="{FF2B5EF4-FFF2-40B4-BE49-F238E27FC236}">
              <a16:creationId xmlns:a16="http://schemas.microsoft.com/office/drawing/2014/main" id="{107C3320-BC9D-4043-97B0-F2AD92732A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612679" y="197304"/>
          <a:ext cx="2121149" cy="661398"/>
        </a:xfrm>
        <a:prstGeom prst="rect">
          <a:avLst/>
        </a:prstGeom>
        <a:ln>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1301750</xdr:colOff>
      <xdr:row>1</xdr:row>
      <xdr:rowOff>190500</xdr:rowOff>
    </xdr:from>
    <xdr:to>
      <xdr:col>12</xdr:col>
      <xdr:colOff>1696017</xdr:colOff>
      <xdr:row>4</xdr:row>
      <xdr:rowOff>194945</xdr:rowOff>
    </xdr:to>
    <xdr:pic>
      <xdr:nvPicPr>
        <xdr:cNvPr id="2" name="Picture 1">
          <a:extLst>
            <a:ext uri="{FF2B5EF4-FFF2-40B4-BE49-F238E27FC236}">
              <a16:creationId xmlns:a16="http://schemas.microsoft.com/office/drawing/2014/main" id="{C54A4135-856D-46CE-9B84-E670119E7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495000" y="190500"/>
          <a:ext cx="2108767" cy="655320"/>
        </a:xfrm>
        <a:prstGeom prst="rect">
          <a:avLst/>
        </a:prstGeom>
        <a:ln>
          <a:prstDash val="soli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1018268</xdr:colOff>
      <xdr:row>1</xdr:row>
      <xdr:rowOff>106589</xdr:rowOff>
    </xdr:from>
    <xdr:to>
      <xdr:col>13</xdr:col>
      <xdr:colOff>1435712</xdr:colOff>
      <xdr:row>3</xdr:row>
      <xdr:rowOff>87176</xdr:rowOff>
    </xdr:to>
    <xdr:pic>
      <xdr:nvPicPr>
        <xdr:cNvPr id="2" name="Picture 1">
          <a:extLst>
            <a:ext uri="{FF2B5EF4-FFF2-40B4-BE49-F238E27FC236}">
              <a16:creationId xmlns:a16="http://schemas.microsoft.com/office/drawing/2014/main" id="{4D231A4C-CDE0-4DC2-B2F2-C36B1CFF05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242893" y="106589"/>
          <a:ext cx="2131944" cy="647337"/>
        </a:xfrm>
        <a:prstGeom prst="rect">
          <a:avLst/>
        </a:prstGeom>
        <a:ln>
          <a:prstDash val="soli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1681995</xdr:colOff>
      <xdr:row>1</xdr:row>
      <xdr:rowOff>124732</xdr:rowOff>
    </xdr:from>
    <xdr:to>
      <xdr:col>12</xdr:col>
      <xdr:colOff>66192</xdr:colOff>
      <xdr:row>4</xdr:row>
      <xdr:rowOff>27577</xdr:rowOff>
    </xdr:to>
    <xdr:pic>
      <xdr:nvPicPr>
        <xdr:cNvPr id="2" name="Picture 1">
          <a:extLst>
            <a:ext uri="{FF2B5EF4-FFF2-40B4-BE49-F238E27FC236}">
              <a16:creationId xmlns:a16="http://schemas.microsoft.com/office/drawing/2014/main" id="{ACA6CF63-A058-4EBF-816D-7271C71E2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408828" y="124732"/>
          <a:ext cx="1807482" cy="540808"/>
        </a:xfrm>
        <a:prstGeom prst="rect">
          <a:avLst/>
        </a:prstGeom>
        <a:ln>
          <a:prstDash val="soli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504031</xdr:colOff>
      <xdr:row>0</xdr:row>
      <xdr:rowOff>99219</xdr:rowOff>
    </xdr:from>
    <xdr:to>
      <xdr:col>13</xdr:col>
      <xdr:colOff>884328</xdr:colOff>
      <xdr:row>3</xdr:row>
      <xdr:rowOff>107474</xdr:rowOff>
    </xdr:to>
    <xdr:pic>
      <xdr:nvPicPr>
        <xdr:cNvPr id="2" name="Picture 1">
          <a:extLst>
            <a:ext uri="{FF2B5EF4-FFF2-40B4-BE49-F238E27FC236}">
              <a16:creationId xmlns:a16="http://schemas.microsoft.com/office/drawing/2014/main" id="{58B1F5AF-97B2-4188-B9D8-9BFA84F5C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673094" y="99219"/>
          <a:ext cx="2094797" cy="651193"/>
        </a:xfrm>
        <a:prstGeom prst="rect">
          <a:avLst/>
        </a:prstGeom>
        <a:ln>
          <a:prstDash val="soli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1289503</xdr:colOff>
      <xdr:row>0</xdr:row>
      <xdr:rowOff>142875</xdr:rowOff>
    </xdr:from>
    <xdr:to>
      <xdr:col>12</xdr:col>
      <xdr:colOff>1677737</xdr:colOff>
      <xdr:row>3</xdr:row>
      <xdr:rowOff>149225</xdr:rowOff>
    </xdr:to>
    <xdr:pic>
      <xdr:nvPicPr>
        <xdr:cNvPr id="2" name="Picture 1">
          <a:extLst>
            <a:ext uri="{FF2B5EF4-FFF2-40B4-BE49-F238E27FC236}">
              <a16:creationId xmlns:a16="http://schemas.microsoft.com/office/drawing/2014/main" id="{0D0A92C3-0448-4957-8193-36E7CB6B9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223967" y="142875"/>
          <a:ext cx="2102734" cy="659493"/>
        </a:xfrm>
        <a:prstGeom prst="rect">
          <a:avLst/>
        </a:prstGeom>
        <a:ln>
          <a:prstDash val="soli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1099380</xdr:colOff>
      <xdr:row>0</xdr:row>
      <xdr:rowOff>91282</xdr:rowOff>
    </xdr:from>
    <xdr:to>
      <xdr:col>12</xdr:col>
      <xdr:colOff>1501584</xdr:colOff>
      <xdr:row>3</xdr:row>
      <xdr:rowOff>95727</xdr:rowOff>
    </xdr:to>
    <xdr:pic>
      <xdr:nvPicPr>
        <xdr:cNvPr id="2" name="Picture 1">
          <a:extLst>
            <a:ext uri="{FF2B5EF4-FFF2-40B4-BE49-F238E27FC236}">
              <a16:creationId xmlns:a16="http://schemas.microsoft.com/office/drawing/2014/main" id="{003115C7-D5E3-4D57-99E9-D148371D3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506318" y="91282"/>
          <a:ext cx="2116704" cy="64738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285750</xdr:colOff>
      <xdr:row>0</xdr:row>
      <xdr:rowOff>56093</xdr:rowOff>
    </xdr:from>
    <xdr:to>
      <xdr:col>4</xdr:col>
      <xdr:colOff>26494</xdr:colOff>
      <xdr:row>1</xdr:row>
      <xdr:rowOff>236801</xdr:rowOff>
    </xdr:to>
    <xdr:pic>
      <xdr:nvPicPr>
        <xdr:cNvPr id="3" name="Picture 2">
          <a:extLst>
            <a:ext uri="{FF2B5EF4-FFF2-40B4-BE49-F238E27FC236}">
              <a16:creationId xmlns:a16="http://schemas.microsoft.com/office/drawing/2014/main" id="{2062EF58-DF2D-4784-A225-C5A37C4C9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992100" y="56093"/>
          <a:ext cx="1188544" cy="371208"/>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6261893</xdr:colOff>
      <xdr:row>0</xdr:row>
      <xdr:rowOff>58473</xdr:rowOff>
    </xdr:from>
    <xdr:to>
      <xdr:col>3</xdr:col>
      <xdr:colOff>7711848</xdr:colOff>
      <xdr:row>1</xdr:row>
      <xdr:rowOff>316871</xdr:rowOff>
    </xdr:to>
    <xdr:pic>
      <xdr:nvPicPr>
        <xdr:cNvPr id="2" name="Picture 1">
          <a:extLst>
            <a:ext uri="{FF2B5EF4-FFF2-40B4-BE49-F238E27FC236}">
              <a16:creationId xmlns:a16="http://schemas.microsoft.com/office/drawing/2014/main" id="{47BCD643-49F5-462E-9175-F3E95814B1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929518" y="58473"/>
          <a:ext cx="1449955" cy="448898"/>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628650</xdr:colOff>
      <xdr:row>1</xdr:row>
      <xdr:rowOff>57150</xdr:rowOff>
    </xdr:from>
    <xdr:to>
      <xdr:col>16</xdr:col>
      <xdr:colOff>1063239</xdr:colOff>
      <xdr:row>4</xdr:row>
      <xdr:rowOff>60960</xdr:rowOff>
    </xdr:to>
    <xdr:pic>
      <xdr:nvPicPr>
        <xdr:cNvPr id="2" name="Picture 1">
          <a:extLst>
            <a:ext uri="{FF2B5EF4-FFF2-40B4-BE49-F238E27FC236}">
              <a16:creationId xmlns:a16="http://schemas.microsoft.com/office/drawing/2014/main" id="{B8F4BCFB-4EA4-4C1E-BA41-F4668AC895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260050" y="57150"/>
          <a:ext cx="2116704" cy="655320"/>
        </a:xfrm>
        <a:prstGeom prst="rect">
          <a:avLst/>
        </a:prstGeom>
        <a:ln>
          <a:prstDash val="solid"/>
        </a:ln>
      </xdr:spPr>
    </xdr:pic>
    <xdr:clientData/>
  </xdr:twoCellAnchor>
  <xdr:twoCellAnchor editAs="oneCell">
    <xdr:from>
      <xdr:col>8</xdr:col>
      <xdr:colOff>0</xdr:colOff>
      <xdr:row>1</xdr:row>
      <xdr:rowOff>0</xdr:rowOff>
    </xdr:from>
    <xdr:to>
      <xdr:col>8</xdr:col>
      <xdr:colOff>1449955</xdr:colOff>
      <xdr:row>3</xdr:row>
      <xdr:rowOff>3340</xdr:rowOff>
    </xdr:to>
    <xdr:pic>
      <xdr:nvPicPr>
        <xdr:cNvPr id="3" name="Picture 2">
          <a:extLst>
            <a:ext uri="{FF2B5EF4-FFF2-40B4-BE49-F238E27FC236}">
              <a16:creationId xmlns:a16="http://schemas.microsoft.com/office/drawing/2014/main" id="{02419C49-FF21-4F3C-A7B1-AE8C2F6B4C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668250" y="0"/>
          <a:ext cx="1449955" cy="448898"/>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1164166</xdr:colOff>
      <xdr:row>0</xdr:row>
      <xdr:rowOff>0</xdr:rowOff>
    </xdr:from>
    <xdr:ext cx="1857682" cy="575128"/>
    <xdr:pic>
      <xdr:nvPicPr>
        <xdr:cNvPr id="2" name="Picture 1">
          <a:extLst>
            <a:ext uri="{FF2B5EF4-FFF2-40B4-BE49-F238E27FC236}">
              <a16:creationId xmlns:a16="http://schemas.microsoft.com/office/drawing/2014/main" id="{30C14DB9-5D00-4E9E-AC26-55135597BA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250333" y="0"/>
          <a:ext cx="1857682" cy="575128"/>
        </a:xfrm>
        <a:prstGeom prst="rect">
          <a:avLst/>
        </a:prstGeom>
        <a:ln>
          <a:prstDash val="soli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476250</xdr:colOff>
      <xdr:row>0</xdr:row>
      <xdr:rowOff>122087</xdr:rowOff>
    </xdr:from>
    <xdr:to>
      <xdr:col>12</xdr:col>
      <xdr:colOff>711935</xdr:colOff>
      <xdr:row>3</xdr:row>
      <xdr:rowOff>76258</xdr:rowOff>
    </xdr:to>
    <xdr:pic>
      <xdr:nvPicPr>
        <xdr:cNvPr id="2" name="Picture 1">
          <a:extLst>
            <a:ext uri="{FF2B5EF4-FFF2-40B4-BE49-F238E27FC236}">
              <a16:creationId xmlns:a16="http://schemas.microsoft.com/office/drawing/2014/main" id="{4EC29EC4-4910-4CBE-9A4A-83E52E58E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64667" y="122087"/>
          <a:ext cx="1946375" cy="599754"/>
        </a:xfrm>
        <a:prstGeom prst="rect">
          <a:avLst/>
        </a:prstGeom>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692602</xdr:colOff>
      <xdr:row>1</xdr:row>
      <xdr:rowOff>72118</xdr:rowOff>
    </xdr:from>
    <xdr:to>
      <xdr:col>8</xdr:col>
      <xdr:colOff>766082</xdr:colOff>
      <xdr:row>2</xdr:row>
      <xdr:rowOff>362646</xdr:rowOff>
    </xdr:to>
    <xdr:pic>
      <xdr:nvPicPr>
        <xdr:cNvPr id="2" name="Picture 1">
          <a:extLst>
            <a:ext uri="{FF2B5EF4-FFF2-40B4-BE49-F238E27FC236}">
              <a16:creationId xmlns:a16="http://schemas.microsoft.com/office/drawing/2014/main" id="{B6253A68-AF46-4886-B792-887607437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55827" y="72118"/>
          <a:ext cx="1787980" cy="557228"/>
        </a:xfrm>
        <a:prstGeom prst="rect">
          <a:avLst/>
        </a:prstGeom>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1061358</xdr:colOff>
      <xdr:row>1</xdr:row>
      <xdr:rowOff>81643</xdr:rowOff>
    </xdr:from>
    <xdr:to>
      <xdr:col>12</xdr:col>
      <xdr:colOff>1482612</xdr:colOff>
      <xdr:row>4</xdr:row>
      <xdr:rowOff>74907</xdr:rowOff>
    </xdr:to>
    <xdr:pic>
      <xdr:nvPicPr>
        <xdr:cNvPr id="2" name="Picture 1">
          <a:extLst>
            <a:ext uri="{FF2B5EF4-FFF2-40B4-BE49-F238E27FC236}">
              <a16:creationId xmlns:a16="http://schemas.microsoft.com/office/drawing/2014/main" id="{5D1B7A41-060C-430B-BE08-BA29412910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036644" y="81643"/>
          <a:ext cx="2116704" cy="655320"/>
        </a:xfrm>
        <a:prstGeom prst="rect">
          <a:avLst/>
        </a:prstGeom>
        <a:ln>
          <a:prstDash val="soli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1673679</xdr:colOff>
      <xdr:row>1</xdr:row>
      <xdr:rowOff>38554</xdr:rowOff>
    </xdr:from>
    <xdr:to>
      <xdr:col>11</xdr:col>
      <xdr:colOff>1739514</xdr:colOff>
      <xdr:row>4</xdr:row>
      <xdr:rowOff>61686</xdr:rowOff>
    </xdr:to>
    <xdr:pic>
      <xdr:nvPicPr>
        <xdr:cNvPr id="2" name="Picture 1">
          <a:extLst>
            <a:ext uri="{FF2B5EF4-FFF2-40B4-BE49-F238E27FC236}">
              <a16:creationId xmlns:a16="http://schemas.microsoft.com/office/drawing/2014/main" id="{0BC44746-F4DD-4CF3-B906-32349A2DCE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437929" y="38554"/>
          <a:ext cx="2120514" cy="662668"/>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lobalreporting.sharepoint.com/Services/ReportServices%20Library/1.%20Report%20Services/6.%20Services%20Development/5.%20Mapping%20services/ESRS%20mapping/Material/draft-esrs-gri-standards-data-point-mapping_UNIFIED.xlsx" TargetMode="External"/><Relationship Id="rId1" Type="http://schemas.openxmlformats.org/officeDocument/2006/relationships/externalLinkPath" Target="https://globalreporting.sharepoint.com/Services/ReportServices%20Library/1.%20Report%20Services/6.%20Services%20Development/5.%20Mapping%20services/ESRS%20mapping/Material/draft-esrs-gri-standards-data-point-mapping_UNIFI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quinoxgold.sharepoint.com/teams/EQXEASR/Shared%20Documents/ESG/RGMP/2026/20260518_Social&amp;EconContributionGold.xlsx" TargetMode="External"/><Relationship Id="rId1" Type="http://schemas.openxmlformats.org/officeDocument/2006/relationships/externalLinkPath" Target="https://equinoxgold.sharepoint.com/teams/EQXEASR/Shared%20Documents/ESG/RGMP/2026/20260518_Social&amp;EconContributionG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this draft GRI tool"/>
      <sheetName val="Index"/>
      <sheetName val="ESRS compiled"/>
      <sheetName val="No match ESRS list"/>
      <sheetName val="ESRS 2"/>
      <sheetName val="ESRS2 MDR"/>
      <sheetName val="ESRS E1"/>
      <sheetName val="ESRS E2"/>
      <sheetName val="ESRS E3"/>
      <sheetName val="ESRS E4"/>
      <sheetName val="ESRS E5"/>
      <sheetName val="ESRS S1"/>
      <sheetName val="ESRS S2"/>
      <sheetName val="ESRS S3"/>
      <sheetName val="ESRS S4"/>
      <sheetName val="ESRS G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20260518_Social&amp;EconContributio"/>
    </sheetNames>
    <sheetDataSet>
      <sheetData sheetId="0"/>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Edna Aguiñaga" id="{96D5014E-BD1E-0846-9D17-F2DC564FC9A8}" userId="S::edna@edrsilver.com::604c5685-e3f2-445c-a2a8-53ed7c89d78f"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101B22A-05C6-42FC-A897-C963691A701A}" name="Table37" displayName="Table37" ref="B13:D74" totalsRowShown="0" headerRowDxfId="651" dataDxfId="650" tableBorderDxfId="649">
  <autoFilter ref="B13:D74" xr:uid="{1101B22A-05C6-42FC-A897-C963691A701A}"/>
  <tableColumns count="3">
    <tableColumn id="1" xr3:uid="{05EEEB42-E88F-47B8-8541-800EDC17A7FB}" name="Sheet" dataDxfId="648"/>
    <tableColumn id="2" xr3:uid="{C330030D-0ADA-49A1-9F56-E17D2CD07F49}" name="Table / Description" dataDxfId="647" dataCellStyle="Hyperlink"/>
    <tableColumn id="3" xr3:uid="{F1111A55-E4E4-417E-B566-696459EF64D2}" name="Disclosures Included" dataDxfId="646"/>
  </tableColumns>
  <tableStyleInfo name="TableStyleLight9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F866D8C-74D6-42F3-8FC3-04CCDA54AF1C}" name="Table24" displayName="Table24" ref="B12:C18" totalsRowCount="1" headerRowDxfId="571" dataDxfId="570" totalsRowDxfId="569">
  <autoFilter ref="B12:C17" xr:uid="{7F866D8C-74D6-42F3-8FC3-04CCDA54AF1C}"/>
  <tableColumns count="2">
    <tableColumn id="1" xr3:uid="{8A99A9AE-A591-4EC9-88FB-502C11250B74}" name="Reports Registered through the Whistleblower Service FY2025" totalsRowLabel="Total" dataDxfId="568" totalsRowDxfId="567"/>
    <tableColumn id="5" xr3:uid="{EA5EBAF4-4465-443B-B028-2824373D5642}" name="EQX" totalsRowLabel="109" dataDxfId="566" totalsRowDxfId="565"/>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5367104-95EE-40F0-B518-49BA18E353DD}" name="Table75777980" displayName="Table75777980" ref="B48:C53" totalsRowShown="0" headerRowDxfId="564" dataDxfId="563">
  <autoFilter ref="B48:C53" xr:uid="{F5367104-95EE-40F0-B518-49BA18E353DD}"/>
  <tableColumns count="2">
    <tableColumn id="1" xr3:uid="{B389A657-4903-4A16-A539-96B9A6FF4E1C}" name="Confirmed Incidents of Corruption and Actions Taken FY2025" dataDxfId="562"/>
    <tableColumn id="13" xr3:uid="{DD02E151-9023-4ADF-B402-3E935AFE3BF5}" name="EQX" dataDxfId="561"/>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45B9F4D-53BE-456A-9381-FD7F4FD75DF8}" name="Table75104" displayName="Table75104" ref="B59:G62" totalsRowShown="0" headerRowDxfId="560" dataDxfId="559">
  <autoFilter ref="B59:G62" xr:uid="{245B9F4D-53BE-456A-9381-FD7F4FD75DF8}"/>
  <tableColumns count="6">
    <tableColumn id="1" xr3:uid="{1002ABF6-9752-42CC-ACCC-CDB5C3167D9B}" name="Transparency International’s Corruption Perception Index Ranking(1)" dataDxfId="558"/>
    <tableColumn id="2" xr3:uid="{7E8337D8-C2EF-42E1-932A-8A113E728651}" name="Canada" dataDxfId="557"/>
    <tableColumn id="3" xr3:uid="{249A93EF-A405-4CFF-B669-B2E195DA44C5}" name="United States" dataDxfId="556"/>
    <tableColumn id="4" xr3:uid="{CA94BD29-5D52-4C6A-9C22-6AFF71200949}" name="Mexico" dataDxfId="555"/>
    <tableColumn id="7" xr3:uid="{809E9D09-0CE6-484F-8BE5-54CCAC01CD0D}" name="Nicaragua" dataDxfId="554"/>
    <tableColumn id="8" xr3:uid="{FBF29E8D-64A3-4E99-BF8D-C6FCD2E5D597}" name="Brazil" dataDxfId="553"/>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18B9C98-5198-4E71-BF5D-A66541174F7F}" name="Table7577" displayName="Table7577" ref="B39:C42" totalsRowShown="0" headerRowDxfId="552" dataDxfId="551">
  <autoFilter ref="B39:C42" xr:uid="{418B9C98-5198-4E71-BF5D-A66541174F7F}"/>
  <tableColumns count="2">
    <tableColumn id="1" xr3:uid="{038E0931-DA77-42EA-B287-BE1C847A8BCE}" name="Operations Assessed for Risks Related to Corruption FY2025" dataDxfId="550"/>
    <tableColumn id="13" xr3:uid="{33D9CE9F-4DA0-4F5F-A394-A5322501DE41}" name="EQX" dataDxfId="549"/>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197E19E-3C8C-4971-94FF-41F3B4493EB5}" name="Table1341011" displayName="Table1341011" ref="B23:C33" totalsRowShown="0" headerRowDxfId="548" dataDxfId="547">
  <autoFilter ref="B23:C33" xr:uid="{A197E19E-3C8C-4971-94FF-41F3B4493EB5}"/>
  <tableColumns count="2">
    <tableColumn id="1" xr3:uid="{8681EE17-A6C0-43A3-8EF8-A4CFD8BA7491}" name="Compliance with Laws and Regulations FY2025" dataDxfId="546"/>
    <tableColumn id="2" xr3:uid="{A8FE541B-E651-4FBB-908B-0820435C922B}" name="EQX" dataDxfId="545"/>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1E9A72A-5E7B-484E-8CC0-7FA3F3A2146E}" name="Table33" displayName="Table33" ref="B12:D15" totalsRowCount="1" headerRowDxfId="544" dataDxfId="543" totalsRowDxfId="542">
  <autoFilter ref="B12:D14" xr:uid="{61E9A72A-5E7B-484E-8CC0-7FA3F3A2146E}"/>
  <tableColumns count="3">
    <tableColumn id="1" xr3:uid="{8090BE4E-5698-4A5A-B240-33FD4634F345}" name="Total Energy Consumption by Type FY2025(1)" totalsRowLabel="Total" dataDxfId="541" totalsRowDxfId="540"/>
    <tableColumn id="2" xr3:uid="{7F62437E-67B9-42EE-9998-9BE54BE50A25}" name="GJ" totalsRowFunction="sum" dataDxfId="539" totalsRowDxfId="538" dataCellStyle="Comma"/>
    <tableColumn id="10" xr3:uid="{A88BD277-006C-4920-9F9A-7888CCFB6B6E}" name="%" totalsRowFunction="sum" dataDxfId="537" totalsRowDxfId="536" dataCellStyle="Percent"/>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BD1D450-0887-4C71-8457-3F056642FFDF}" name="Table34" displayName="Table34" ref="B26:F27" totalsRowShown="0" headerRowDxfId="535" dataDxfId="534">
  <autoFilter ref="B26:F27" xr:uid="{CBD1D450-0887-4C71-8457-3F056642FFDF}"/>
  <tableColumns count="5">
    <tableColumn id="1" xr3:uid="{EE228778-07A8-4B79-939D-EF5EC0885B96}" name="Energy Intensity" dataDxfId="533"/>
    <tableColumn id="2" xr3:uid="{37165DD4-F8C2-45ED-BA4E-C00596BD7D12}" name="2022" dataDxfId="532"/>
    <tableColumn id="3" xr3:uid="{B20F730A-BE0E-4FC3-B427-69E23620ACF3}" name="2023" dataDxfId="531"/>
    <tableColumn id="4" xr3:uid="{AEFF433F-774F-4F2C-AD42-B97AB3046D94}" name="2024" dataDxfId="530"/>
    <tableColumn id="5" xr3:uid="{F89599A7-28A9-4A7B-A50C-49B60603FC5B}" name="2025" dataDxfId="529"/>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C003015-A0AD-4C7C-BF5F-89D9B75244A4}" name="Table39" displayName="Table39" ref="B65:L68" totalsRowShown="0" headerRowDxfId="528" dataDxfId="527">
  <autoFilter ref="B65:L68" xr:uid="{5C003015-A0AD-4C7C-BF5F-89D9B75244A4}"/>
  <tableColumns count="11">
    <tableColumn id="1" xr3:uid="{0C5D56C8-B9FC-47E7-A285-4F1595F8F97D}" name="Significant Air Emissions FY2025 (t/yr)" dataDxfId="526"/>
    <tableColumn id="2" xr3:uid="{64DF833C-BDD5-45F4-B9C0-A24E2B6E5981}" name="Greenstone" dataDxfId="525" dataCellStyle="Comma"/>
    <tableColumn id="11" xr3:uid="{510B91C8-36D1-4D6E-9C20-54830F1055E8}" name="Valentine" dataDxfId="524" dataCellStyle="Comma"/>
    <tableColumn id="12" xr3:uid="{6334CB6C-38A7-4393-B954-EAC475BD1761}" name="Mesquite" dataDxfId="523" dataCellStyle="Comma"/>
    <tableColumn id="3" xr3:uid="{02117BB6-0150-47DD-B191-9B68ADACFB34}" name="Castle Mountain" dataDxfId="522" dataCellStyle="Comma"/>
    <tableColumn id="5" xr3:uid="{DC8844F1-FA41-4682-A4DC-BB1AE7BB8686}" name="Los Filos" dataDxfId="521" dataCellStyle="Comma"/>
    <tableColumn id="6" xr3:uid="{CD8B03FD-E62D-42B9-ACA4-5390D9E3092E}" name="El Limon" dataDxfId="520" dataCellStyle="Comma"/>
    <tableColumn id="7" xr3:uid="{3D1BF95A-401C-4EBC-A7E2-D120A4436374}" name="La Libertad" dataDxfId="519" dataCellStyle="Comma"/>
    <tableColumn id="8" xr3:uid="{7527EA02-C8F2-41C1-9775-3BA6CCC9E733}" name="Aurizona" dataDxfId="518"/>
    <tableColumn id="9" xr3:uid="{39F86C0D-D979-49F1-AAC0-039FD19ACA6D}" name="Bahia" dataDxfId="517"/>
    <tableColumn id="10" xr3:uid="{4BDEA775-61F3-4481-98FF-7228A48A14A1}" name="RDM" dataDxfId="516"/>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0736A0F-65D4-44B2-9FDC-61F558B2D052}" name="Table3558" displayName="Table3558" ref="B33:M34" totalsRowShown="0" headerRowDxfId="515" dataDxfId="514">
  <autoFilter ref="B33:M34" xr:uid="{40736A0F-65D4-44B2-9FDC-61F558B2D052}"/>
  <tableColumns count="12">
    <tableColumn id="1" xr3:uid="{5EE74202-C0D5-4918-BAB6-444610852841}" name="Direct (Scope 1) GHG Emissions FY2025 (tCO2e)(1)" dataDxfId="513"/>
    <tableColumn id="2" xr3:uid="{B5AC31B7-76BC-4548-BA13-3A24AAA43D0E}" name="Greenstone" dataDxfId="512"/>
    <tableColumn id="11" xr3:uid="{BA2AD19E-B50B-423A-958F-17A33B588E4F}" name="Valentine" dataDxfId="511"/>
    <tableColumn id="13" xr3:uid="{7FF93D39-A024-41B8-93A5-AEBD7FA9DBEE}" name="Mesquite" dataDxfId="510"/>
    <tableColumn id="3" xr3:uid="{3D7403A6-CCAB-475D-A975-76E8EB1A7D8F}" name="Castle Mountain" dataDxfId="509"/>
    <tableColumn id="5" xr3:uid="{AA0F7E77-74D7-484D-8C74-6D986B7AB4D4}" name="Los Filos" dataDxfId="508"/>
    <tableColumn id="6" xr3:uid="{4C63D2CF-E5D5-439B-98C1-DE9D4EFA052F}" name="El Limon" dataDxfId="507"/>
    <tableColumn id="7" xr3:uid="{833D8157-AB67-4ABD-808D-0FA43EE00E88}" name="La Libertad" dataDxfId="506"/>
    <tableColumn id="8" xr3:uid="{0C1DC2DF-15E4-4EE4-A15A-44A349E8D9A8}" name="Aurizona" dataDxfId="505"/>
    <tableColumn id="9" xr3:uid="{D43A42BA-BE0B-4823-9F40-042B69F34C29}" name="Bahia" dataDxfId="504"/>
    <tableColumn id="10" xr3:uid="{7F51B7C7-8BC8-4ACD-A2EE-38C069D1DCF3}" name="RDM" dataDxfId="503"/>
    <tableColumn id="12" xr3:uid="{F3EF62E4-0F1A-4B07-A3A7-CA34152ED981}" name="EQX" dataDxfId="502">
      <calculatedColumnFormula>SUM(Table3558[[#This Row],[Greenstone]:[RDM]])</calculatedColumnFormula>
    </tableColumn>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C23F619-2A63-48A7-B66F-5B30E2488E8D}" name="Table353785" displayName="Table353785" ref="B40:M42" totalsRowShown="0" headerRowDxfId="501" dataDxfId="500">
  <autoFilter ref="B40:M42" xr:uid="{FC23F619-2A63-48A7-B66F-5B30E2488E8D}"/>
  <tableColumns count="12">
    <tableColumn id="1" xr3:uid="{8ABC95FC-B5C7-40D2-A31F-05EEBEF8755B}" name="Energy Indirect (Scope 2) GHG Emissions FY2025 (tCO2e)(1)" dataDxfId="499"/>
    <tableColumn id="2" xr3:uid="{E449FFDD-97A9-4D33-A414-79FA365A52CE}" name="Greenstone" dataDxfId="498"/>
    <tableColumn id="11" xr3:uid="{04521385-76F7-4A75-92B5-02F80F825B70}" name="Valentine" dataDxfId="497"/>
    <tableColumn id="13" xr3:uid="{1E05E1F4-47BB-4FB3-9896-81CB340C194B}" name="Mesquite" dataDxfId="496"/>
    <tableColumn id="3" xr3:uid="{49CA7EF7-3E89-432A-A889-50DE7935CB0F}" name="Castle Mountain" dataDxfId="495"/>
    <tableColumn id="5" xr3:uid="{40059724-82CD-455A-A162-CE5419D8284F}" name="Los Filos" dataDxfId="494"/>
    <tableColumn id="6" xr3:uid="{ABC1FE0C-4682-4C69-80E4-C94823F8CC7D}" name="El Limon" dataDxfId="493"/>
    <tableColumn id="7" xr3:uid="{D6235558-6BFB-4EFC-8391-11DA57350DAF}" name="La Libertad" dataDxfId="492"/>
    <tableColumn id="8" xr3:uid="{7D649EC0-2FC9-4194-B3CA-0EF5987AA0D3}" name="Aurizona" dataDxfId="491"/>
    <tableColumn id="9" xr3:uid="{EF65F410-3D78-4536-98A0-0B3ED2DC3447}" name="Bahia" dataDxfId="490"/>
    <tableColumn id="10" xr3:uid="{798687D8-2908-461F-AAB1-8286E1655D91}" name="RDM" dataDxfId="489" dataCellStyle="Comma"/>
    <tableColumn id="12" xr3:uid="{5556AD59-A704-46B3-B096-907E9F41779E}" name="EQX" dataDxfId="488">
      <calculatedColumnFormula>SUM(Table353785[[#This Row],[Greenstone]:[RDM]])</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F90F0B98-02E9-4E9B-83CF-03C0BC3145E1}" name="Table118" displayName="Table118" ref="A6:D37" totalsRowShown="0" headerRowDxfId="645" dataDxfId="644">
  <autoFilter ref="A6:D37" xr:uid="{01E71F3E-D1F8-414C-BF7F-99ED17A1BCBC}"/>
  <tableColumns count="4">
    <tableColumn id="1" xr3:uid="{C345494B-3ED1-449F-A596-7ED1E54891FD}" name="Topic" dataDxfId="643"/>
    <tableColumn id="2" xr3:uid="{05902FB0-F390-4FF2-B2A5-37185505737E}" name="Code" dataDxfId="642"/>
    <tableColumn id="3" xr3:uid="{31308BA1-C529-46C4-946D-FD8295A2D829}" name="Metric" dataDxfId="641"/>
    <tableColumn id="4" xr3:uid="{0B8A294C-3FE1-4BA9-9747-191ED69065B0}" name="Location" dataDxfId="640"/>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A2D5D12B-3143-4BC2-A9F7-6445649C5408}" name="Table115" displayName="Table115" ref="B48:M49" totalsRowShown="0" headerRowDxfId="487" dataDxfId="486">
  <autoFilter ref="B48:M49" xr:uid="{A2D5D12B-3143-4BC2-A9F7-6445649C5408}"/>
  <tableColumns count="12">
    <tableColumn id="1" xr3:uid="{E94F59A8-000E-4102-9BA0-8DC74505427D}" name="GHG Emissions Intensity Ratio FY2025" dataDxfId="485"/>
    <tableColumn id="2" xr3:uid="{495A898F-6D59-4A7C-BF39-AB84279666E7}" name="Greenstone" dataDxfId="484"/>
    <tableColumn id="3" xr3:uid="{7A755BC1-36D0-4661-98FB-61C901C8C8C7}" name="Valentine" dataDxfId="483"/>
    <tableColumn id="13" xr3:uid="{9BDB4D40-8C52-43B5-AB15-598A93E3BCEA}" name="Mesquite" dataDxfId="482"/>
    <tableColumn id="4" xr3:uid="{857F4B52-8B0D-4E4A-933B-DB2A6FC9A2F6}" name="Castle Mountain" dataDxfId="481"/>
    <tableColumn id="6" xr3:uid="{9F5545DD-420E-4F04-A344-147F2C5F0BB0}" name="Los Filos" dataDxfId="480"/>
    <tableColumn id="7" xr3:uid="{6A657E82-5616-4CD5-966A-5CECB7D01416}" name="El Limon" dataDxfId="479"/>
    <tableColumn id="8" xr3:uid="{8AF1ECFE-D2A3-4F15-B03A-2B90584CB7AF}" name="La Libertad" dataDxfId="478"/>
    <tableColumn id="9" xr3:uid="{2BA10AA7-44C5-45E6-A616-A0BEC9627869}" name="Aurizona" dataDxfId="477"/>
    <tableColumn id="10" xr3:uid="{790A574D-F699-4611-AF58-4AAC57729318}" name="Bahia" dataDxfId="476"/>
    <tableColumn id="11" xr3:uid="{A4118868-9252-4440-A051-B3F913F22377}" name="RDM" dataDxfId="475"/>
    <tableColumn id="12" xr3:uid="{078C5DEC-C5C3-4C65-B2BA-40674F9ACA9F}" name="EQX" dataDxfId="474"/>
  </tableColumns>
  <tableStyleInfo name="TableStyleLight9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275DF3-847A-4A41-A2AE-E7AC8FF27400}" name="Table8" displayName="Table8" ref="B55:E60" totalsRowCount="1" headerRowDxfId="473" dataDxfId="472" totalsRowDxfId="471">
  <autoFilter ref="B55:E59" xr:uid="{37275DF3-847A-4A41-A2AE-E7AC8FF27400}"/>
  <tableColumns count="4">
    <tableColumn id="1" xr3:uid="{ADAF6919-D25D-493D-9CC1-865F01933C5E}" name="Reduction initiatives FY2025 (tCO2e)" totalsRowLabel="Total" dataDxfId="470" totalsRowDxfId="469"/>
    <tableColumn id="2" xr3:uid="{ACD66CBA-4A0D-4A75-A468-DF70A6C16923}" name="Scope 1" totalsRowFunction="sum" dataDxfId="468" totalsRowDxfId="467" dataCellStyle="Comma" totalsRowCellStyle="Comma"/>
    <tableColumn id="3" xr3:uid="{72B1B6AD-F53F-4B47-9AA8-C84E792FF7F5}" name="Scope 2" totalsRowFunction="sum" dataDxfId="466" totalsRowDxfId="465" dataCellStyle="Comma" totalsRowCellStyle="Comma"/>
    <tableColumn id="4" xr3:uid="{8FE3FAD6-2DB3-4B09-BC59-37B55E376FC2}" name="Total" totalsRowFunction="sum" dataDxfId="464" totalsRowDxfId="463" dataCellStyle="Comma" totalsRowCellStyle="Comma"/>
  </tableColumns>
  <tableStyleInfo name="TableStyleLight9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E9A907-927B-4D11-8D09-9F50A4E5E461}" name="Table3322" displayName="Table3322" ref="B18:C20" totalsRowShown="0" headerRowDxfId="462" dataDxfId="461">
  <autoFilter ref="B18:C20" xr:uid="{0FE9A907-927B-4D11-8D09-9F50A4E5E461}"/>
  <tableColumns count="2">
    <tableColumn id="1" xr3:uid="{3B0B4D1D-8320-4738-911D-53641B0E12A0}" name="Total electricity, heating, cooling and steam consumption FY2025(1)" dataDxfId="460"/>
    <tableColumn id="2" xr3:uid="{CF88C973-90A1-4C1A-8686-CA7DBE9FC50C}" name="Value" dataDxfId="459" dataCellStyle="Comma 2" totalsRowCellStyle="Comma 2"/>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E41909C-CEC4-42D7-8FE8-9F485D9AA0EC}" name="Table3121" displayName="Table3121" ref="B26:G29" totalsRowShown="0" headerRowDxfId="458" dataDxfId="457">
  <autoFilter ref="B26:G29" xr:uid="{0A9FDF5B-E31B-4CCC-BCFD-E4B7152B9B72}"/>
  <tableColumns count="6">
    <tableColumn id="1" xr3:uid="{B5C97E93-6CD4-44FD-A4EA-3A561CD4834E}" name="Security Personnel Trained in Human Rights FY2025" dataDxfId="456"/>
    <tableColumn id="7" xr3:uid="{E2C4D6C1-1221-4969-B8DB-F57748AD813C}" name="Los Filos" dataDxfId="455"/>
    <tableColumn id="8" xr3:uid="{E2AC6659-635D-4BD7-8AC6-0B01A2E8BB46}" name="Managua Office" dataDxfId="454"/>
    <tableColumn id="9" xr3:uid="{C86DE691-9FD0-43CB-A281-9AE9511FC918}" name="El Limon" dataDxfId="453"/>
    <tableColumn id="10" xr3:uid="{AD800F11-B0B0-4369-88DE-F735688F6C89}" name="La Libertad" dataDxfId="452"/>
    <tableColumn id="15" xr3:uid="{DE4AEC6F-30D8-4783-95A6-25D172BDBEFD}" name="EQX" dataDxfId="451"/>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CF1FE98-32C9-4ECF-A152-C2225FE0ACFD}" name="Table3069708336" displayName="Table3069708336" ref="B34:M36" totalsRowShown="0" headerRowDxfId="450" dataDxfId="449">
  <autoFilter ref="B34:M36" xr:uid="{923F5B1C-94B3-48C3-9E68-59FA8F6D744D}"/>
  <tableColumns count="12">
    <tableColumn id="1" xr3:uid="{1E9378B6-D127-4488-A250-7E062E0B24AB}" name="ReservesIn or Near(1) Areas of Conflict(2) FY2025" dataDxfId="448"/>
    <tableColumn id="2" xr3:uid="{7E1E83BB-844F-4F26-9724-8D15CF255A20}" name="Greenstone" dataDxfId="447"/>
    <tableColumn id="3" xr3:uid="{BEDFCF28-EEDA-45B4-B5F3-DAEFDDCF0EA3}" name="Valentine" dataDxfId="446"/>
    <tableColumn id="13" xr3:uid="{1338F582-4A9C-4B74-8669-ED03B1449D44}" name="Mesquite" dataDxfId="445"/>
    <tableColumn id="4" xr3:uid="{0DA4A451-C99D-4B45-BE0D-C680C640BD6F}" name="Castle Mountain" dataDxfId="444"/>
    <tableColumn id="6" xr3:uid="{A4EC3921-35AA-44C8-B67B-E8349D003F03}" name="Los Filos (3)" dataDxfId="443"/>
    <tableColumn id="7" xr3:uid="{9D19026A-BFBB-4B57-A8A3-99BCF8265D69}" name="El Limon" dataDxfId="442"/>
    <tableColumn id="8" xr3:uid="{49BC8356-98E1-4CC9-90A9-C6993F439A9E}" name="La Libertad" dataDxfId="441"/>
    <tableColumn id="9" xr3:uid="{B682814A-EFB6-4645-B11A-DA58609B90C1}" name="Aurizona" dataDxfId="440"/>
    <tableColumn id="10" xr3:uid="{4B0B708B-2FF4-4ACB-83A0-1C06B499C456}" name="Bahia" dataDxfId="439"/>
    <tableColumn id="11" xr3:uid="{DE1D7B24-D000-4B7A-82B2-910C2C22BD33}" name="RDM" dataDxfId="438"/>
    <tableColumn id="12" xr3:uid="{AA0FB252-7872-4E76-BB05-1D520104A3D9}" name="EQX" dataDxfId="437"/>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A4AD94B-8275-499D-A00B-D5B9F96E8F39}" name="Table74" displayName="Table74" ref="B12:L21" totalsRowShown="0" headerRowDxfId="436" dataDxfId="435">
  <autoFilter ref="B12:L21" xr:uid="{BA4AD94B-8275-499D-A00B-D5B9F96E8F39}"/>
  <tableColumns count="11">
    <tableColumn id="1" xr3:uid="{C8F42BF4-C705-4C29-8860-82111EFBD32B}" name="Risk of Forced and Child Labour FY2025" dataDxfId="434"/>
    <tableColumn id="2" xr3:uid="{92AA7333-A9D7-4B88-B6B3-7BBD89014809}" name="Greenstone" dataDxfId="433"/>
    <tableColumn id="3" xr3:uid="{66A62FAC-1131-4279-B899-413C6E11D6FE}" name="Valentine" dataDxfId="432"/>
    <tableColumn id="4" xr3:uid="{E0965D08-CDA9-4F41-A991-96DB5C8271E0}" name="Mesquite" dataDxfId="431"/>
    <tableColumn id="5" xr3:uid="{6B506873-0C84-4CEB-B943-D8F2964DEB01}" name="Castle Mountain" dataDxfId="430"/>
    <tableColumn id="6" xr3:uid="{3EF28F0A-FBE7-48FE-8FE1-0CE04DD7BE1D}" name="Los Filos" dataDxfId="429"/>
    <tableColumn id="7" xr3:uid="{B9AABC4B-FA83-4B57-9807-8AAACBB69604}" name="El Limon" dataDxfId="428"/>
    <tableColumn id="8" xr3:uid="{AE1801F2-2AB2-4234-AFE7-42BF5707F0B8}" name="La Libertad" dataDxfId="427"/>
    <tableColumn id="9" xr3:uid="{781461B0-26B1-4946-9C0C-999729AA3686}" name="Aurizona" dataDxfId="426"/>
    <tableColumn id="10" xr3:uid="{67E7B602-9199-4458-AC48-705A74EEDE40}" name="Bahia" dataDxfId="425"/>
    <tableColumn id="11" xr3:uid="{03FF2443-082E-4EB2-8D09-4370C930D238}" name="RDM" dataDxfId="424"/>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D8DD569-5F40-4098-B12E-EEA0FF078581}" name="Table27" displayName="Table27" ref="B28:M36" totalsRowShown="0" headerRowDxfId="423" dataDxfId="422">
  <autoFilter ref="B28:M36" xr:uid="{4D8DD569-5F40-4098-B12E-EEA0FF078581}"/>
  <tableColumns count="12">
    <tableColumn id="1" xr3:uid="{D3A482BC-7CC6-438B-A994-F2698ABE189D}" name="Grievance Reports from Local Communities FY2025" dataDxfId="421"/>
    <tableColumn id="2" xr3:uid="{08710824-764C-4B19-A430-1A34825102D1}" name="Greenstone" dataDxfId="420"/>
    <tableColumn id="3" xr3:uid="{1D9D6C95-2F6B-4E94-B7D6-5FF8D2DE501C}" name="Valentine" dataDxfId="419"/>
    <tableColumn id="13" xr3:uid="{78C9F532-8BCA-4399-9267-161D0577375E}" name="Mesquite" dataDxfId="418"/>
    <tableColumn id="4" xr3:uid="{037B14B9-B8B1-4035-8B6A-391C8092D20E}" name="Castle Mountain" dataDxfId="417"/>
    <tableColumn id="6" xr3:uid="{4B4D264A-04A1-4FEA-B135-198FB63FD0E0}" name="Los Filos" dataDxfId="416"/>
    <tableColumn id="7" xr3:uid="{9F4D198A-D4F4-493A-8FFA-6443B34D4E6C}" name="El Limon" dataDxfId="415"/>
    <tableColumn id="8" xr3:uid="{B11D63AB-0A86-43CE-8059-A070799252E1}" name="La Libertad" dataDxfId="414"/>
    <tableColumn id="9" xr3:uid="{107332A5-75BA-4483-91DD-84ADC08BA0B5}" name="Aurizona" dataDxfId="413"/>
    <tableColumn id="10" xr3:uid="{DD10D758-16B3-4B57-8C9C-53924F6D2F1D}" name="Bahia" dataDxfId="412"/>
    <tableColumn id="11" xr3:uid="{F64C1845-3F48-4109-9DEF-A3EB314C27D9}" name="RDM" dataDxfId="411"/>
    <tableColumn id="12" xr3:uid="{13461D4C-3441-47A4-BECA-B51709A63599}" name="EQX" dataDxfId="410">
      <calculatedColumnFormula>SUM(Table27[[#This Row],[Greenstone]:[RDM]])</calculatedColumnFormula>
    </tableColumn>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DB8C700-2676-4C6D-AF09-4684CFC2011B}" name="Table29" displayName="Table29" ref="B12:M22" totalsRowShown="0" headerRowDxfId="409" dataDxfId="408">
  <autoFilter ref="B12:M22" xr:uid="{1DB8C700-2676-4C6D-AF09-4684CFC2011B}"/>
  <tableColumns count="12">
    <tableColumn id="1" xr3:uid="{0653DFBA-D533-4E19-A3BC-7EBCFA69C100}" name="Community Engagement, Impact Assessments, and Development Programs by Mine Site FY2025" dataDxfId="407"/>
    <tableColumn id="2" xr3:uid="{64604EF9-BE31-4CDE-B682-600F4771D7CD}" name="Greenstone" dataDxfId="406"/>
    <tableColumn id="3" xr3:uid="{7C8E261D-FA02-485D-9D25-91B17B9EB86A}" name="Valentine" dataDxfId="405"/>
    <tableColumn id="13" xr3:uid="{4C0B1B5F-0845-4753-B459-81A3DA33B2BE}" name="Mesquite" dataDxfId="404"/>
    <tableColumn id="4" xr3:uid="{7482756D-ECA1-4FE4-93CA-17CF4593D254}" name="Castle Mountain" dataDxfId="403"/>
    <tableColumn id="10" xr3:uid="{8B7469E4-32CC-4D13-984F-065A460388AC}" name="Los Filos" dataDxfId="402"/>
    <tableColumn id="11" xr3:uid="{C501A52A-2B06-4E3C-98DA-177FB3247AE8}" name="El Limon" dataDxfId="401"/>
    <tableColumn id="6" xr3:uid="{5C99E15A-5AE3-47FA-9210-248F4482345E}" name="La Libertad" dataDxfId="400"/>
    <tableColumn id="7" xr3:uid="{40C35533-678E-4E66-B263-005A43ABDAEB}" name="Aurizona" dataDxfId="399"/>
    <tableColumn id="8" xr3:uid="{A5A6DA2F-CAD7-44D9-8711-D2FC8DC68A5A}" name="Bahia" dataDxfId="398"/>
    <tableColumn id="9" xr3:uid="{AC775529-0044-4D9E-865F-AE019E696FA4}" name="RDM" dataDxfId="397"/>
    <tableColumn id="12" xr3:uid="{6C0BBD8E-C1A4-436C-827D-F11E72A977C6}" name="% of EQX Operations" dataDxfId="396"/>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A31191D-02F8-4DCE-AB3A-BB8E9CE61953}" name="Table30" displayName="Table30" ref="B71:L76" totalsRowShown="0" headerRowDxfId="395" dataDxfId="394">
  <autoFilter ref="B71:L76" xr:uid="{CA31191D-02F8-4DCE-AB3A-BB8E9CE61953}"/>
  <tableColumns count="11">
    <tableColumn id="1" xr3:uid="{700417E2-0438-48E9-8030-B9875EDD8CB9}" name="Involuntary Resettlement FY2025" dataDxfId="393"/>
    <tableColumn id="2" xr3:uid="{EF5A26C0-2819-4E7A-A2FF-9A66522DD345}" name="Greenstone" dataDxfId="392"/>
    <tableColumn id="3" xr3:uid="{0E171441-9CED-4EDE-B7EA-0D62F105C70F}" name="Valentine" dataDxfId="391"/>
    <tableColumn id="4" xr3:uid="{8AE89A72-4C20-4700-8B29-E8A29E63C0FB}" name="Mesquite" dataDxfId="390"/>
    <tableColumn id="5" xr3:uid="{ED08183E-7C71-4E28-AC0D-EF07B7538EA8}" name="Castle Mountain" dataDxfId="389"/>
    <tableColumn id="6" xr3:uid="{0F58CB01-0077-43BA-9312-4E87FF0B6612}" name="Los Filos" dataDxfId="388"/>
    <tableColumn id="7" xr3:uid="{E7889BF7-2B75-4676-8FC8-3D4029824455}" name="El Limon" dataDxfId="387"/>
    <tableColumn id="8" xr3:uid="{4F11CEF3-558D-461A-AA19-CC01CCFFB4E8}" name="La Libertad" dataDxfId="386"/>
    <tableColumn id="9" xr3:uid="{7A4F3C3F-7B8A-4862-B60D-67C113BB51C1}" name="Aurizona" dataDxfId="385"/>
    <tableColumn id="10" xr3:uid="{1B16FEEF-4630-40E6-8455-37F4033516D1}" name="Bahia" dataDxfId="384"/>
    <tableColumn id="11" xr3:uid="{417C92D0-6612-4935-AF12-6C3F6A5ADCE1}" name="RDM" dataDxfId="383"/>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57779A99-9F5B-49A0-A2AF-1CC2F9318E7D}" name="Table3069" displayName="Table3069" ref="B42:L47" totalsRowShown="0" headerRowDxfId="382" dataDxfId="381">
  <autoFilter ref="B42:L47" xr:uid="{57779A99-9F5B-49A0-A2AF-1CC2F9318E7D}"/>
  <tableColumns count="11">
    <tableColumn id="1" xr3:uid="{EB4EBD65-218C-4D3E-AD9A-7726C9182ACE}" name="Incidents of Violations Involving Rights of Indigenous Peoples FY2025" dataDxfId="380"/>
    <tableColumn id="2" xr3:uid="{1F64FBC5-D6CF-4915-8376-EED0C41FFACF}" name="Greenstone" dataDxfId="379"/>
    <tableColumn id="3" xr3:uid="{7A3DFFA3-A0CC-44E5-B6B2-3912240A813D}" name="Valentine" dataDxfId="378"/>
    <tableColumn id="12" xr3:uid="{9E55B4E4-9AAD-4A94-9D74-4BE97E2E48FE}" name="Mesquite" dataDxfId="377"/>
    <tableColumn id="4" xr3:uid="{0C2BFFF8-27F8-4D18-AC65-CC27EA997795}" name="Castle Mountain" dataDxfId="376"/>
    <tableColumn id="6" xr3:uid="{FA05EA59-39FE-402F-8C0F-EF81627F652E}" name="Los Filos(1)" dataDxfId="375"/>
    <tableColumn id="7" xr3:uid="{C4EDA67E-4FB3-4233-A8C6-1353F68EFC74}" name="El Limon(1)" dataDxfId="374"/>
    <tableColumn id="8" xr3:uid="{DF9034F4-B6A7-45C4-9F47-0331853C1BDB}" name="La Libertad(1)" dataDxfId="373"/>
    <tableColumn id="9" xr3:uid="{5EDC8B4E-688B-4865-BF21-52CAF504E892}" name="Aurizona(1)" dataDxfId="372"/>
    <tableColumn id="10" xr3:uid="{38F1FE77-4ECC-4B01-A670-2B6DE9374D8C}" name="Bahia (1)" dataDxfId="371"/>
    <tableColumn id="11" xr3:uid="{12DAA449-FF76-4FB9-9584-B60188CF89D8}" name="RDM(1)" dataDxfId="37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BC196810-FFFC-45C4-B196-3D17F5E64C18}" name="Table2297" displayName="Table2297" ref="B10:I24" totalsRowShown="0" headerRowDxfId="639" dataDxfId="638">
  <autoFilter ref="B10:I24" xr:uid="{BC196810-FFFC-45C4-B196-3D17F5E64C18}"/>
  <tableColumns count="8">
    <tableColumn id="1" xr3:uid="{FCBADCF8-E113-4D53-9210-F33FBC221BF2}" name="Jurisdiction" dataDxfId="637"/>
    <tableColumn id="2" xr3:uid="{E331946E-128F-40B9-B841-9CA2B8B85121}" name="Operation / Site(1)" dataDxfId="636"/>
    <tableColumn id="3" xr3:uid="{1944EA20-FABE-4F35-9056-094A7EC1DE5E}" name="Status" dataDxfId="635"/>
    <tableColumn id="4" xr3:uid="{0ED4D9F5-9277-45EB-BE1C-1B7BA11575FF}" name="Included in Environmental Data" dataDxfId="634"/>
    <tableColumn id="5" xr3:uid="{65C0B650-19AB-46C8-9ADA-07F8028D2E93}" name="Included in People Data" dataDxfId="633"/>
    <tableColumn id="8" xr3:uid="{3644A61F-CB2F-450A-A716-EC1AA6AA0AC9}" name="Included in Social Data" dataDxfId="632"/>
    <tableColumn id="7" xr3:uid="{169525F6-AA46-4D37-B561-D9E37162D5BB}" name="Included in OHS Data" dataDxfId="631"/>
    <tableColumn id="6" xr3:uid="{C005F25D-6F1D-4037-917A-F861159333A8}" name="Included in Economic Data" dataDxfId="630"/>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3F3A4B5-C91B-430C-A6CC-32EF0AC96F93}" name="Table306970" displayName="Table306970" ref="B53:M55" totalsRowShown="0" headerRowDxfId="369" dataDxfId="368">
  <autoFilter ref="B53:M55" xr:uid="{B3F3A4B5-C91B-430C-A6CC-32EF0AC96F93}"/>
  <tableColumns count="12">
    <tableColumn id="1" xr3:uid="{1F6ED0E7-5614-44AD-93AC-90C009C119F1}" name="Reserves In or Near(1) Indigenous Peoples Land(2) FY2025" dataDxfId="367"/>
    <tableColumn id="2" xr3:uid="{E5ACAE43-04C6-48F9-9F04-8E4DC6F3C1B6}" name="Greenstone" dataDxfId="366"/>
    <tableColumn id="3" xr3:uid="{64819BA2-9C45-452A-BE3C-5A9DBF8D7936}" name="Valentine" dataDxfId="365"/>
    <tableColumn id="4" xr3:uid="{275503C8-C2A5-4844-AFA1-436F1E3CB854}" name="Mesquite" dataDxfId="364"/>
    <tableColumn id="5" xr3:uid="{943CF9AF-7B2D-4516-A2FA-492BB4ED9EF1}" name="Castle Mountain" dataDxfId="363"/>
    <tableColumn id="6" xr3:uid="{6BE8BCD3-B478-4561-931F-B9C71334B40C}" name="Los Filos" dataDxfId="362"/>
    <tableColumn id="7" xr3:uid="{9A2F060E-92DB-43D7-B5A5-2EB372ECC5F8}" name="El Limon" dataDxfId="361"/>
    <tableColumn id="8" xr3:uid="{319828C3-14CB-41C9-BD38-1EB12B74F71A}" name="La Libertad" dataDxfId="360"/>
    <tableColumn id="9" xr3:uid="{CF442207-8164-4B80-9F3C-FC4449357659}" name="Aurizona" dataDxfId="359"/>
    <tableColumn id="10" xr3:uid="{1BF2E139-E4FD-4EFD-8AAE-0162172887C5}" name="Bahia" dataDxfId="358"/>
    <tableColumn id="11" xr3:uid="{BDE4BAD0-8D66-4442-9636-7E022A4929C3}" name="RDM" dataDxfId="357"/>
    <tableColumn id="12" xr3:uid="{55E426EF-B526-49D7-85D9-EAD3D487E724}" name="EQX" dataDxfId="356"/>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6112E2B4-03C9-416A-8491-85DB5664EA8A}" name="Table30697071" displayName="Table30697071" ref="B61:L65" totalsRowShown="0" headerRowDxfId="355" dataDxfId="354">
  <autoFilter ref="B61:L65" xr:uid="{6112E2B4-03C9-416A-8491-85DB5664EA8A}"/>
  <tableColumns count="11">
    <tableColumn id="1" xr3:uid="{3AA447C1-33E5-490E-84F2-B9042A4F73E3}" name="Free, Prior, and Informed Consent (FPIC) Processes FY2025" dataDxfId="353"/>
    <tableColumn id="2" xr3:uid="{28D1781F-9CA8-4CAD-BCF0-A9875A8513BE}" name="Greenstone" dataDxfId="352"/>
    <tableColumn id="3" xr3:uid="{FFD97BF5-219B-475B-99B4-654A39A84EB8}" name="Valentine(1)" dataDxfId="351"/>
    <tableColumn id="4" xr3:uid="{3D78FE15-4186-450B-892D-2C5C0F699D62}" name="Mesquite" dataDxfId="350"/>
    <tableColumn id="5" xr3:uid="{6172E0CE-F36E-4F76-B183-7026F9FD4EF1}" name="Castle Mountain" dataDxfId="349"/>
    <tableColumn id="6" xr3:uid="{50C17064-D324-497F-A442-C2449A5ACD24}" name="Los Filos" dataDxfId="348"/>
    <tableColumn id="7" xr3:uid="{FF9322CE-0A8C-40A0-B1D8-9502D164E46F}" name="El Limon" dataDxfId="347"/>
    <tableColumn id="8" xr3:uid="{E25E5A27-FC5F-4B6A-BD11-665CA0865349}" name="La Libertad" dataDxfId="346"/>
    <tableColumn id="9" xr3:uid="{EEDAAFEF-6E16-4A4D-AE20-A9FA25F1C67A}" name="Aurizona" dataDxfId="345"/>
    <tableColumn id="10" xr3:uid="{B3351EC2-9D57-4E2F-9AF9-34FAD2F83A12}" name="Bahia" dataDxfId="344"/>
    <tableColumn id="11" xr3:uid="{E1D6286D-6083-4FEC-A6C0-B3E6E4870F4B}" name="RDM" dataDxfId="343"/>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9202F7-6CA7-470B-BF42-26D13E57C59B}" name="Table3069707172" displayName="Table3069707172" ref="B81:L84" totalsRowShown="0" headerRowDxfId="342" dataDxfId="341">
  <autoFilter ref="B81:L84" xr:uid="{009202F7-6CA7-470B-BF42-26D13E57C59B}"/>
  <tableColumns count="11">
    <tableColumn id="1" xr3:uid="{D447BB5E-B9EB-48B3-A969-60F2EA3A7172}" name="Conflicts or Violations of Land and Resource Rights(1) FY2025" dataDxfId="340"/>
    <tableColumn id="2" xr3:uid="{98A95490-E104-4F05-B639-53173950D9F4}" name="Greenstone" dataDxfId="339"/>
    <tableColumn id="3" xr3:uid="{2A9E432A-8607-47B3-AA75-5172A0141C7B}" name="Valentine" dataDxfId="338"/>
    <tableColumn id="4" xr3:uid="{12F68E71-F40E-44DE-B319-54BD5F7116BD}" name="Mesquite" dataDxfId="337"/>
    <tableColumn id="5" xr3:uid="{835CA6F7-E395-4ADA-87A4-784C74E5BAF4}" name="Castle Mountain" dataDxfId="336"/>
    <tableColumn id="6" xr3:uid="{269EAA47-4A43-4D4D-82E2-5D2007D3F06A}" name="Los Filos" dataDxfId="335"/>
    <tableColumn id="7" xr3:uid="{086148BF-B645-4C92-9169-7497931DDB8F}" name="El Limon" dataDxfId="334"/>
    <tableColumn id="8" xr3:uid="{C308E2FF-D9F8-418C-9462-05BFA66F65A0}" name="La Libertad" dataDxfId="333"/>
    <tableColumn id="9" xr3:uid="{08350ECD-05AB-4770-93E3-A1D626F6D865}" name="Aurizona" dataDxfId="332"/>
    <tableColumn id="10" xr3:uid="{3E7A25F5-3990-41BC-8CF3-63A749909214}" name="Bahia" dataDxfId="331"/>
    <tableColumn id="11" xr3:uid="{1C3281CC-9D1B-4D23-A0A1-29CB49328EDF}" name="RDM" dataDxfId="330"/>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AC83559E-283F-408A-B49E-32DB6BC1C643}" name="Table3184" displayName="Table3184" ref="B90:L92" totalsRowShown="0" headerRowDxfId="329" dataDxfId="328">
  <autoFilter ref="B90:L92" xr:uid="{AC83559E-283F-408A-B49E-32DB6BC1C643}"/>
  <tableColumns count="11">
    <tableColumn id="1" xr3:uid="{FD404E73-79DB-41F3-A3E1-26763197D781}" name="Non-Technical Delays(1) FY2025" dataDxfId="327"/>
    <tableColumn id="2" xr3:uid="{407282AA-DFD8-4951-B15E-80B603E9B904}" name="Greenstone" dataDxfId="326"/>
    <tableColumn id="3" xr3:uid="{B4F1F00A-A527-4EA6-BDC4-789DD7D03621}" name="Valentine" dataDxfId="325"/>
    <tableColumn id="4" xr3:uid="{18B3CFB4-1824-460B-ADCE-B78FDDA78F35}" name="Mesquite" dataDxfId="324"/>
    <tableColumn id="5" xr3:uid="{E2745EC3-E60E-4C6A-B408-7FD78F5E22D6}" name="Castle Mountain" dataDxfId="323"/>
    <tableColumn id="6" xr3:uid="{33EC9B7B-F3F8-4C2F-A062-7D1449D3798C}" name="Los Filos" dataDxfId="322"/>
    <tableColumn id="7" xr3:uid="{457F53F2-24C5-4E66-9301-4D9A1705B42A}" name="El Limon" dataDxfId="321"/>
    <tableColumn id="8" xr3:uid="{7A8CFC83-E2F3-4F9A-A6EE-2801E2235675}" name="La Libertad" dataDxfId="320"/>
    <tableColumn id="9" xr3:uid="{9E5BF048-0085-40C7-83FD-E62341CFD2B8}" name="Aurizona" dataDxfId="319"/>
    <tableColumn id="10" xr3:uid="{1EBFC9C4-3FE8-4EB6-8A54-BB15C4E6E699}" name="Bahia" dataDxfId="318"/>
    <tableColumn id="11" xr3:uid="{05E89DAD-B393-4A22-B154-8E37AD27170F}" name="RDM" dataDxfId="317"/>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6F4F4BE-F026-4BD3-A1EC-7CCB601CA5D5}" name="Table19" displayName="Table19" ref="B12:H24" totalsRowShown="0" headerRowDxfId="316" dataDxfId="315">
  <autoFilter ref="B12:H24" xr:uid="{76F4F4BE-F026-4BD3-A1EC-7CCB601CA5D5}"/>
  <tableColumns count="7">
    <tableColumn id="1" xr3:uid="{235C4FBD-8BA6-4766-828E-4FCDCDB34331}" name="Work-Related Injuries FY2025" dataDxfId="314"/>
    <tableColumn id="2" xr3:uid="{EFA773CD-29EE-48E6-969C-31E9B1DC1869}" name="Canada" dataDxfId="313"/>
    <tableColumn id="3" xr3:uid="{EF53C64B-2001-4233-8835-D488E679D558}" name="United States" dataDxfId="312"/>
    <tableColumn id="4" xr3:uid="{318D6498-9108-489F-8153-28F051D119CE}" name="Mexico" dataDxfId="311"/>
    <tableColumn id="5" xr3:uid="{9860B342-9A69-4D01-8776-EFFBD2B877BD}" name="Nicaragua" dataDxfId="310"/>
    <tableColumn id="6" xr3:uid="{FC20ECC8-87AF-4379-A178-38A62B786B0D}" name="Brazil" dataDxfId="309"/>
    <tableColumn id="7" xr3:uid="{9D5BC375-2BAD-4230-A332-936383D7E27F}" name="EQX" dataDxfId="308"/>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1B8A94B-AEEE-463D-AB12-F40986617E3A}" name="Table21" displayName="Table21" ref="B44:C50" totalsRowShown="0" headerRowDxfId="307" dataDxfId="306" tableBorderDxfId="305">
  <autoFilter ref="B44:C50" xr:uid="{F1B8A94B-AEEE-463D-AB12-F40986617E3A}"/>
  <tableColumns count="2">
    <tableColumn id="1" xr3:uid="{536D9368-82F0-4710-B12A-37C6E28DDE37}" name="Work-Related Ill Health(1) FY2025" dataDxfId="304"/>
    <tableColumn id="12" xr3:uid="{97745055-43A8-4B41-84C9-031D56C75CDA}" name="EQX" dataDxfId="303"/>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71FFF1C-5087-443D-A754-1EA3585A29B7}" name="Table2168" displayName="Table2168" ref="B56:C62" totalsRowShown="0" headerRowDxfId="302" dataDxfId="301" tableBorderDxfId="300">
  <autoFilter ref="B56:C62" xr:uid="{671FFF1C-5087-443D-A754-1EA3585A29B7}"/>
  <tableColumns count="2">
    <tableColumn id="1" xr3:uid="{B847A8F1-17A2-4636-8B0E-B6DE457BD660}" name="All-Incidence Rate" dataDxfId="299"/>
    <tableColumn id="4" xr3:uid="{98505293-6437-4A4F-95EA-60A6397B9574}" name="EQX" dataDxfId="298"/>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F48F04E-D0A2-4A0F-9036-1D24046AA7AB}" name="Table22" displayName="Table22" ref="B27:P38" totalsRowShown="0" headerRowDxfId="297" dataDxfId="296">
  <autoFilter ref="B27:P38" xr:uid="{DF48F04E-D0A2-4A0F-9036-1D24046AA7AB}"/>
  <tableColumns count="15">
    <tableColumn id="1" xr3:uid="{030647C0-95B3-46F1-A220-413518153BC0}" name="Workforce Injuries (Employees + Contractors) FY2025" dataDxfId="295"/>
    <tableColumn id="2" xr3:uid="{C00B438E-634F-459D-AB23-E95023521FD8}" name="Corporate Office" dataDxfId="294"/>
    <tableColumn id="3" xr3:uid="{A11CF458-7CBC-4B53-94E8-E9013E246FC3}" name="Greenstone" dataDxfId="293"/>
    <tableColumn id="4" xr3:uid="{40593189-569D-4C8E-AAD1-7AF5233B4A7A}" name="Valentine" dataDxfId="292"/>
    <tableColumn id="16" xr3:uid="{D95993B4-63A6-403E-9EEA-C72B04AD4A09}" name="Mesquite" dataDxfId="291"/>
    <tableColumn id="5" xr3:uid="{AC10832C-6274-431F-B0DC-B1BB3D69CDA1}" name="Castle Mountain" dataDxfId="290"/>
    <tableColumn id="7" xr3:uid="{FBFF7FA8-4CCE-4CC7-865E-DB4BA8072488}" name="Los Filos" dataDxfId="289"/>
    <tableColumn id="8" xr3:uid="{57AC49E7-AD71-4872-8C7F-5A90F7DCE9C1}" name="Managua Office" dataDxfId="288"/>
    <tableColumn id="9" xr3:uid="{BB67ADE3-D0FF-4EAF-9169-10CC5150487E}" name="La Libertad" dataDxfId="287"/>
    <tableColumn id="10" xr3:uid="{29B3082F-C4D4-4138-8FBD-4587CF98CF19}" name="El Limon" dataDxfId="286"/>
    <tableColumn id="11" xr3:uid="{365D7FA6-748B-4FAD-90A9-2AF37B4F9BFA}" name="Belo Office" dataDxfId="285"/>
    <tableColumn id="12" xr3:uid="{96F06E62-AB87-473D-AFDD-2FA5B543AA9E}" name="Aurizona" dataDxfId="284"/>
    <tableColumn id="13" xr3:uid="{122013FF-C6E2-4450-B9A0-3A8A477998DE}" name="Bahia" dataDxfId="283"/>
    <tableColumn id="14" xr3:uid="{0FF86DBF-B4CF-4904-90DD-AFB838A408A5}" name="RDM" dataDxfId="282"/>
    <tableColumn id="15" xr3:uid="{57C685B1-C22C-49BA-8C63-D56716134E7E}" name="EQX" dataDxfId="281"/>
  </tableColumns>
  <tableStyleInfo name="TableStyleLight9 1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1C83803-2ACC-4E8F-B516-FCA24BE214F8}" name="Table6" displayName="Table6" ref="B135:I138" totalsRowCount="1" headerRowDxfId="280" dataDxfId="279" totalsRowDxfId="278">
  <autoFilter ref="B135:I137" xr:uid="{91C83803-2ACC-4E8F-B516-FCA24BE214F8}"/>
  <tableColumns count="8">
    <tableColumn id="1" xr3:uid="{299A7297-6113-4708-AB57-3C8FA80C26CF}" name="Workforce FY2025" totalsRowLabel="Total" dataDxfId="277" totalsRowDxfId="276"/>
    <tableColumn id="4" xr3:uid="{6A6CA4B3-4AD2-466F-B49E-4DFF809C410B}" name="Canada" totalsRowFunction="sum" dataDxfId="275" totalsRowDxfId="274" dataCellStyle="Comma" totalsRowCellStyle="Comma"/>
    <tableColumn id="5" xr3:uid="{EA1F4822-B778-41AA-9A3F-9F7BC26FB013}" name="United States" totalsRowFunction="sum" dataDxfId="273" totalsRowDxfId="272" dataCellStyle="Comma" totalsRowCellStyle="Comma"/>
    <tableColumn id="6" xr3:uid="{C3479A22-7C81-448E-8156-F91AA775DD74}" name="Mexico" totalsRowFunction="sum" dataDxfId="271" totalsRowDxfId="270" dataCellStyle="Comma" totalsRowCellStyle="Comma"/>
    <tableColumn id="7" xr3:uid="{D99DF999-5037-4159-B9BD-607CDBBD793D}" name="Nicaragua" totalsRowFunction="sum" dataDxfId="269" totalsRowDxfId="268" dataCellStyle="Comma" totalsRowCellStyle="Comma"/>
    <tableColumn id="8" xr3:uid="{06AEDBF0-C031-4EEE-8BCC-8FE9CEDC6722}" name="Brazil" totalsRowFunction="sum" dataDxfId="267" totalsRowDxfId="266" dataCellStyle="Comma" totalsRowCellStyle="Comma"/>
    <tableColumn id="9" xr3:uid="{5D906899-3449-48B1-BC0D-3E3112277BF3}" name="EQX" totalsRowFunction="sum" dataDxfId="265" totalsRowDxfId="264" dataCellStyle="Comma" totalsRowCellStyle="Comma"/>
    <tableColumn id="10" xr3:uid="{F2ADA04D-14AD-443E-AE00-703A5DE429DD}" name="%" totalsRowFunction="sum" dataDxfId="263" totalsRowDxfId="262" dataCellStyle="Comma" totalsRowCellStyle="Comma"/>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1544A5-866F-45FF-A06A-0530D13ABEE8}" name="Table7" displayName="Table7" ref="B13:K19" totalsRowShown="0" headerRowDxfId="261" dataDxfId="260">
  <autoFilter ref="B13:K19" xr:uid="{841544A5-866F-45FF-A06A-0530D13ABEE8}"/>
  <tableColumns count="10">
    <tableColumn id="1" xr3:uid="{D73E2FDD-011E-49D9-9063-4E2D028E287E}" name="Employees by Type of Contract (Head Count) FY2025" dataDxfId="259"/>
    <tableColumn id="2" xr3:uid="{E70A4D79-D3A7-4C5A-A9A6-F267048BE3C7}" name="Total" dataDxfId="258"/>
    <tableColumn id="3" xr3:uid="{52F5BBFE-6735-47B1-BC39-3468460E3AF7}" name="Male" dataDxfId="257"/>
    <tableColumn id="4" xr3:uid="{46313EF6-C832-4EE6-9888-FB6D39412AD7}" name="Female" dataDxfId="256"/>
    <tableColumn id="5" xr3:uid="{FCC9EEB8-7081-46F7-9C25-20D180F7599D}" name="Undeclared" dataDxfId="255"/>
    <tableColumn id="6" xr3:uid="{2FC6D42A-DA9F-4FAC-8750-8EC378DB4C64}" name="Canada" dataDxfId="254"/>
    <tableColumn id="7" xr3:uid="{E7E73438-AB3F-4715-8901-A3243CA69A85}" name="United States" dataDxfId="253"/>
    <tableColumn id="8" xr3:uid="{529F15EB-F814-47D5-859D-C13EA5A99B5A}" name="Mexico" dataDxfId="252"/>
    <tableColumn id="9" xr3:uid="{CD91742A-FBF4-4D11-A46A-C50514C71B5C}" name="Nicaragua" dataDxfId="251"/>
    <tableColumn id="10" xr3:uid="{EB1154E2-67CD-4C48-920B-0AF5CB149507}" name="Brazil" dataDxfId="2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A7EE9113-7665-4473-849C-365EFA7D9305}" name="Table2499" displayName="Table2499" ref="B38:E51" totalsRowShown="0" headerRowDxfId="629" dataDxfId="628">
  <autoFilter ref="B38:E51" xr:uid="{A7EE9113-7665-4473-849C-365EFA7D9305}"/>
  <tableColumns count="4">
    <tableColumn id="1" xr3:uid="{7C04DA7D-304F-495A-A63D-74011D629B63}" name="Operation / Scope" dataDxfId="627"/>
    <tableColumn id="2" xr3:uid="{CF7EB968-A4ED-4EED-8451-B24E02E56D95}" name="Local Area of Influence" dataDxfId="626"/>
    <tableColumn id="3" xr3:uid="{64E0012E-708D-4F5C-B3C1-3724122C613C}" name="Regional / In-State / _x000a_In-Province_x000a_(Exclusive of Local Area of Influence)" dataDxfId="625"/>
    <tableColumn id="4" xr3:uid="{15439776-DCB8-4C64-99F3-3D33C65D09FE}" name="In-Country_x000a_(Exclusive of Local and Regional Area of Influence)" dataDxfId="624"/>
  </tableColumns>
  <tableStyleInfo name="TableStyleLight9"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DBCEB-F54C-4CA4-A887-B8C3D2F853F8}" name="Table910" displayName="Table910" ref="B56:H63" headerRowDxfId="249" dataDxfId="248" totalsRowDxfId="247">
  <autoFilter ref="B56:H63" xr:uid="{CF5DBCEB-F54C-4CA4-A887-B8C3D2F853F8}"/>
  <tableColumns count="7">
    <tableColumn id="1" xr3:uid="{22489660-AC5B-43E3-B35E-2E0D8831A515}" name="Employee Category, by Gender, by Age Group FY2025 (%)" totalsRowLabel="Total" dataDxfId="246"/>
    <tableColumn id="2" xr3:uid="{8224E210-7B1E-4955-960C-E69A638ACC98}" name="Total" dataDxfId="245" dataCellStyle="Percent"/>
    <tableColumn id="3" xr3:uid="{221E1216-9626-4082-BAAD-139AAE98C8A8}" name="Male" dataDxfId="244" dataCellStyle="Percent"/>
    <tableColumn id="4" xr3:uid="{BE3E7C3F-B6C1-4382-A03B-43BDDB6F2C15}" name="Female" dataDxfId="243" dataCellStyle="Percent"/>
    <tableColumn id="6" xr3:uid="{9B11CB5F-3313-4CE3-B0C0-CB78E078B1CF}" name="&lt; 30 y/o" dataDxfId="242" dataCellStyle="Percent"/>
    <tableColumn id="7" xr3:uid="{61DE778C-FEEE-460C-94AF-815E9DBB3B30}" name="30-50 y/o" totalsRowFunction="count" dataDxfId="241" dataCellStyle="Percent"/>
    <tableColumn id="8" xr3:uid="{F26F60D5-B1FB-4476-9070-48B371259398}" name="&gt;50 y/o" dataDxfId="240" dataCellStyle="Percent"/>
  </tableColumns>
  <tableStyleInfo name="TableStyleLight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BA8DA4C-DABB-472B-91BA-4562083CDC8C}" name="Table12" displayName="Table12" ref="B128:P130" totalsRowShown="0" headerRowDxfId="239" dataDxfId="238">
  <autoFilter ref="B128:P130" xr:uid="{DBA8DA4C-DABB-472B-91BA-4562083CDC8C}"/>
  <tableColumns count="15">
    <tableColumn id="1" xr3:uid="{9C877509-4DFB-40D2-96E7-03D7406B3045}" name="Employees Covered by Collective Bargaining Agreements FY2025 (%)" dataDxfId="237"/>
    <tableColumn id="3" xr3:uid="{834EE5CF-BF20-402B-803E-5478E2FBA96E}" name="Corporate Office" dataDxfId="236"/>
    <tableColumn id="2" xr3:uid="{37D7E5A4-2197-479F-AC6C-5561FEC20019}" name="Greenstone" dataDxfId="235"/>
    <tableColumn id="4" xr3:uid="{BC944339-5737-423B-A8A8-A72496D38445}" name="Valentine" dataDxfId="234"/>
    <tableColumn id="5" xr3:uid="{3B7A0709-58EF-4790-8A12-EF34F118C0D3}" name="Mesquite" dataDxfId="233"/>
    <tableColumn id="6" xr3:uid="{C69E92BD-6483-474A-9E8F-3BBD501719B4}" name="Castle Mountain" dataDxfId="232"/>
    <tableColumn id="8" xr3:uid="{278753FC-F615-4FAF-8258-D678E72227F3}" name="Los Filos" dataDxfId="231"/>
    <tableColumn id="9" xr3:uid="{DB38A0DF-79BB-4B5C-88AB-7D4D0B80A38E}" name="Managua Office" dataDxfId="230"/>
    <tableColumn id="10" xr3:uid="{0A010C0B-4529-4C44-90E6-BBCBCB22CC8B}" name="La Libertad" dataDxfId="229"/>
    <tableColumn id="11" xr3:uid="{D419BFC5-C316-45E4-845D-46E681F61B90}" name="El Limon" dataDxfId="228"/>
    <tableColumn id="12" xr3:uid="{20AE3E1B-4321-4BCC-A380-36DC2B425DE8}" name="Belo Office" dataDxfId="227"/>
    <tableColumn id="7" xr3:uid="{D64B0885-8955-4A3F-98E2-16DBCB563578}" name="Aurizona" dataDxfId="226"/>
    <tableColumn id="13" xr3:uid="{0DF739B6-F501-4789-B22F-DFCDCB88F5DD}" name="Bahia" dataDxfId="225"/>
    <tableColumn id="14" xr3:uid="{A6AD14F0-CD5C-4F6C-A103-8CA1DEE122B4}" name="RDM" dataDxfId="224"/>
    <tableColumn id="15" xr3:uid="{E5BDF32D-3FD1-42B4-B316-122E985CC2E6}" name="EQX" dataDxfId="223"/>
  </tableColumns>
  <tableStyleInfo name="TableStyleLight9 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34EC86A-2605-446F-A8FC-4B954BF896E8}" name="Table1416" displayName="Table1416" ref="B121:P122" totalsRowShown="0" headerRowDxfId="222" dataDxfId="221">
  <autoFilter ref="B121:P122" xr:uid="{434EC86A-2605-446F-A8FC-4B954BF896E8}"/>
  <tableColumns count="15">
    <tableColumn id="1" xr3:uid="{72951F5A-62B8-400F-8824-193B64116654}" name="Ratio (1) of Basic Salary and Remuneration of Women to Men by Mine Site FY2025" dataDxfId="220"/>
    <tableColumn id="3" xr3:uid="{4CBFEFFA-D7D1-4A16-A910-18D3AF5C011D}" name="Corporate Office" dataDxfId="219"/>
    <tableColumn id="2" xr3:uid="{C1AB7729-99EA-4F46-8B2F-076EDA29D613}" name="Greenstone" dataDxfId="218"/>
    <tableColumn id="4" xr3:uid="{3FD28A7A-6D04-4D19-969A-9CEC7E09F431}" name="Valentine" dataDxfId="217"/>
    <tableColumn id="16" xr3:uid="{D68999A5-83EA-489B-97C2-359D3E58E0F9}" name="Mesquite" dataDxfId="216"/>
    <tableColumn id="5" xr3:uid="{0B6A0609-9308-44B6-9FDD-1C2C43BD9E0E}" name="Castle Mountain" dataDxfId="215"/>
    <tableColumn id="8" xr3:uid="{5A794624-5E71-46DE-8E38-B4AC8E8FCB3D}" name="Los Filos" dataDxfId="214"/>
    <tableColumn id="9" xr3:uid="{CB0EA3CA-F9B8-4062-9BA8-55E27D212600}" name="Managua Office" dataDxfId="213"/>
    <tableColumn id="10" xr3:uid="{47C40726-B126-4E7D-9373-F26E9DB3C2D7}" name="La Libertad" dataDxfId="212"/>
    <tableColumn id="11" xr3:uid="{144AB15D-7DFC-4132-A318-870F8578B1E4}" name="El Limon" dataDxfId="211"/>
    <tableColumn id="12" xr3:uid="{AC4CCB46-485C-4B87-992D-4857C5E13ED8}" name="Belo Office" dataDxfId="210"/>
    <tableColumn id="7" xr3:uid="{A7D4A048-02D5-4DCC-A817-CC13EE4CF348}" name="Aurizona" dataDxfId="209"/>
    <tableColumn id="13" xr3:uid="{14761583-3BEE-4E7C-988B-8ADDF0035468}" name="Bahia" dataDxfId="208"/>
    <tableColumn id="14" xr3:uid="{D95FF128-1B7C-483F-A79A-C62056ABE564}" name="RDM" dataDxfId="207"/>
    <tableColumn id="15" xr3:uid="{090BC37F-2C67-4979-8E27-D0647AE6C8CC}" name="EQX" dataDxfId="206"/>
  </tableColumns>
  <tableStyleInfo name="TableStyleLight9"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665F59A-25A1-44EB-8341-89E2A48F79B9}" name="Table18" displayName="Table18" ref="B112:F116" totalsRowShown="0" headerRowDxfId="205" dataDxfId="204">
  <autoFilter ref="B112:F116" xr:uid="{4665F59A-25A1-44EB-8341-89E2A48F79B9}"/>
  <tableColumns count="5">
    <tableColumn id="1" xr3:uid="{FCCF9150-5F4C-4A73-B499-02E2F8A30B9E}" name="Parental Leave FY2025" dataDxfId="203"/>
    <tableColumn id="2" xr3:uid="{3A8072CF-780C-4EDB-A65F-1FBA2A076CED}" name="Male" dataDxfId="202"/>
    <tableColumn id="3" xr3:uid="{8480E22E-C84E-45DC-8947-3E896292D2DA}" name="Female" dataDxfId="201"/>
    <tableColumn id="4" xr3:uid="{CED4C8BD-7045-4F63-84E7-423A29CB010E}" name="Undisclosed" dataDxfId="200"/>
    <tableColumn id="5" xr3:uid="{957B5A01-8971-4AD5-B42D-33E25E974949}" name="Total" dataDxfId="199"/>
  </tableColumns>
  <tableStyleInfo name="TableStyleLight9"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79BE7DF-96FC-4682-A7DC-7704F2E50730}" name="Table47" displayName="Table47" ref="B143:C146" totalsRowShown="0" headerRowDxfId="198" dataDxfId="197">
  <autoFilter ref="B143:C146" xr:uid="{679BE7DF-96FC-4682-A7DC-7704F2E50730}"/>
  <tableColumns count="2">
    <tableColumn id="1" xr3:uid="{1A539B98-21A8-46C5-96D9-C5EA48D210E5}" name="Strikes and Lockouts FY2025" dataDxfId="196"/>
    <tableColumn id="12" xr3:uid="{9E4056F1-2182-49B0-8671-173288D187B0}" name="EQX" dataDxfId="195"/>
  </tableColumns>
  <tableStyleInfo name="TableStyleLight9"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161AD587-8767-4F36-8BF7-2DBA922D6AEB}" name="Table72" displayName="Table72" ref="B152:C156" totalsRowShown="0" headerRowDxfId="194" dataDxfId="193" tableBorderDxfId="192">
  <autoFilter ref="B152:C156" xr:uid="{161AD587-8767-4F36-8BF7-2DBA922D6AEB}"/>
  <tableColumns count="2">
    <tableColumn id="1" xr3:uid="{99C96510-CC53-498D-842B-1DAA1E8C4E7E}" name="Incidents of Discrimination FY2025" dataDxfId="191"/>
    <tableColumn id="12" xr3:uid="{093A9793-49AB-4CD3-BEAC-C0F1EDC9AEBE}" name="EQX" dataDxfId="190"/>
  </tableColumns>
  <tableStyleInfo name="TableStyleLight9"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BBF222-BA35-4CD4-B0C7-5EB3CCD37C1C}" name="Table4" displayName="Table4" ref="B39:D50" totalsRowShown="0" headerRowDxfId="189" dataDxfId="188">
  <autoFilter ref="B39:D50" xr:uid="{C7BBF222-BA35-4CD4-B0C7-5EB3CCD37C1C}"/>
  <tableColumns count="3">
    <tableColumn id="1" xr3:uid="{BB09FAA6-7EEC-41CE-8689-8DEEA8F4F74B}" name="Employees Hired from the Local Community at the Mine-Site Level, Broken Down by Gender FY2025 (%)" dataDxfId="187"/>
    <tableColumn id="2" xr3:uid="{DB4092C6-988D-484B-A337-2BD488072957}" name="Men" dataDxfId="186"/>
    <tableColumn id="3" xr3:uid="{14DDD41B-59B7-4ABD-94AD-2A2A0D462F33}" name="Women" dataDxfId="185"/>
  </tableColumns>
  <tableStyleInfo name="TableStyleLight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4C336B-CAA3-4452-87C0-2AF630988441}" name="Table2" displayName="Table2" ref="B25:E36" totalsRowShown="0" headerRowDxfId="184" dataDxfId="183">
  <autoFilter ref="B25:E36" xr:uid="{D44C336B-CAA3-4452-87C0-2AF630988441}"/>
  <tableColumns count="4">
    <tableColumn id="1" xr3:uid="{AE73F15A-998C-4247-BB0E-3A475CD72FEE}" name="Employees by Origin, by Site FY2025 (%)" dataDxfId="182"/>
    <tableColumn id="2" xr3:uid="{E035EFB9-CFEC-4AC3-A5AF-CFDD0B1843D5}" name="Local(1)" dataDxfId="181"/>
    <tableColumn id="3" xr3:uid="{A3E4E59C-1665-4DC2-B2C8-DFF493287987}" name="In-Country (National)(2)" dataDxfId="180"/>
    <tableColumn id="4" xr3:uid="{E99B2F72-0F40-4C5D-A1E8-9CD9DC08429A}" name="Foreign" dataDxfId="179"/>
  </tableColumns>
  <tableStyleInfo name="TableStyleLight9 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A7AE8E-ED87-4F32-91D5-98E302E01992}" name="Table1" displayName="Table1" ref="B69:D85" totalsRowShown="0" headerRowDxfId="178" dataDxfId="176" headerRowBorderDxfId="177" tableBorderDxfId="175" totalsRowBorderDxfId="174">
  <autoFilter ref="B69:D85" xr:uid="{C2A7AE8E-ED87-4F32-91D5-98E302E01992}"/>
  <tableColumns count="3">
    <tableColumn id="1" xr3:uid="{184E3656-8CE7-4296-BF7E-E1E5DE44576E}" name="Employee Hires FY2025" dataDxfId="173"/>
    <tableColumn id="2" xr3:uid="{C4811CF3-B5C7-4A97-9F60-3EC42867DDE7}" name="Total Number of New Employee Hires" dataDxfId="172"/>
    <tableColumn id="3" xr3:uid="{AB5B9D04-FA59-4AF4-A8C7-38D5EF5B85F9}" name="Rate of New Employee Hires (1)" dataDxfId="171"/>
  </tableColumns>
  <tableStyleInfo name="TableStyleLight9 1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4FB4D3A-3F19-46A4-9B54-86349B1DF839}" name="Table111" displayName="Table111" ref="B88:D107" totalsRowShown="0" headerRowDxfId="170" dataDxfId="168" headerRowBorderDxfId="169" tableBorderDxfId="167" totalsRowBorderDxfId="166">
  <autoFilter ref="B88:D107" xr:uid="{64FB4D3A-3F19-46A4-9B54-86349B1DF839}"/>
  <tableColumns count="3">
    <tableColumn id="1" xr3:uid="{196E5F74-1BE4-4944-93DB-F4EAE1E88283}" name="Employee Turnover FY2025" dataDxfId="165"/>
    <tableColumn id="2" xr3:uid="{ADEE3601-DD63-4206-8C94-AF89B3C46EE5}" name="Total Number of Turnovers" dataDxfId="164"/>
    <tableColumn id="3" xr3:uid="{3EA054D5-1F05-46B3-A554-35E920AE5FC2}" name="Turnover Rate " dataDxfId="163"/>
  </tableColumns>
  <tableStyleInfo name="TableStyleLight9 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DD29231A-FC1E-4FF9-BE18-EFA041509F57}" name="Table102" displayName="Table102" ref="B145:C156" totalsRowShown="0" headerRowDxfId="623" dataDxfId="622">
  <autoFilter ref="B145:C156" xr:uid="{DD29231A-FC1E-4FF9-BE18-EFA041509F57}"/>
  <tableColumns count="2">
    <tableColumn id="1" xr3:uid="{269F9BAF-61FF-4EEE-B841-9D018B85C230}" name="Unit" dataDxfId="621"/>
    <tableColumn id="2" xr3:uid="{1881BF25-F8F9-4F36-A6A4-0E08C56321ED}" name="Definition" dataDxfId="620"/>
  </tableColumns>
  <tableStyleInfo name="TableStyleLight9"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7D9AACC-831F-4307-BDEE-B198163831D7}" name="Table3178" displayName="Table3178" ref="B27:L39" totalsRowShown="0" headerRowDxfId="162" dataDxfId="161">
  <autoFilter ref="B27:L39" xr:uid="{0A9FDF5B-E31B-4CCC-BCFD-E4B7152B9B72}"/>
  <tableColumns count="11">
    <tableColumn id="1" xr3:uid="{C22AF544-41EE-4E1B-8721-441A7FF51D81}" name="ASM Interaction" dataDxfId="160"/>
    <tableColumn id="2" xr3:uid="{3EE7F7D4-2B12-4355-87EE-DAA4301260CF}" name="Greenstone" dataDxfId="159"/>
    <tableColumn id="3" xr3:uid="{B37A9F7D-3D70-4D5D-8541-1913A7892926}" name="Valetine" dataDxfId="158"/>
    <tableColumn id="4" xr3:uid="{9A4585C3-7D51-496E-8D83-D68722CC0EEA}" name="Mesquite" dataDxfId="157"/>
    <tableColumn id="5" xr3:uid="{A682782A-E434-48AB-BB2E-50B18326E2AD}" name="Castle Mountain" dataDxfId="156"/>
    <tableColumn id="6" xr3:uid="{9868DB3C-4976-454C-8AF3-729CB3722E1C}" name="Los Filos" dataDxfId="155"/>
    <tableColumn id="7" xr3:uid="{45240D18-DCD0-48DC-91D4-92AC89C8C68E}" name="El Limon" dataDxfId="154"/>
    <tableColumn id="8" xr3:uid="{1A9077C3-2650-44A8-8562-0556E14A6447}" name="La Libertad" dataDxfId="153"/>
    <tableColumn id="9" xr3:uid="{0136BA76-0050-4406-B6E3-EB52C70BBD96}" name="Aurizona" dataDxfId="152"/>
    <tableColumn id="10" xr3:uid="{12EF5A99-142A-4906-933E-4182C00B8701}" name="Bahia" dataDxfId="151"/>
    <tableColumn id="11" xr3:uid="{CD8E8653-101E-41CE-9E39-AD3742685CF7}" name="RDM" dataDxfId="150"/>
  </tableColumns>
  <tableStyleInfo name="TableStyleLight9"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C2E0BC-F808-45B2-8143-3F57FC9B5D80}" name="Table311" displayName="Table311" ref="B20:H22" totalsRowShown="0" headerRowDxfId="149" dataDxfId="148" totalsRowDxfId="146" tableBorderDxfId="147">
  <autoFilter ref="B20:H22" xr:uid="{F1C2E0BC-F808-45B2-8143-3F57FC9B5D80}"/>
  <tableColumns count="7">
    <tableColumn id="1" xr3:uid="{4E62E096-60D9-4285-9816-B3A7C8080C7F}" name="Supply Chain and Procurement Metrics FY2025" dataDxfId="145" totalsRowDxfId="144"/>
    <tableColumn id="2" xr3:uid="{EEB9D651-8B92-44A8-8970-83A9337E566F}" name="Canada" dataDxfId="143" totalsRowDxfId="142" dataCellStyle="Percent">
      <calculatedColumnFormula>C10/[2]!Table3[[#Totals],[Canada]]</calculatedColumnFormula>
    </tableColumn>
    <tableColumn id="3" xr3:uid="{54FC90FA-6228-495C-8686-753726ED2D4A}" name="United States" dataDxfId="141" totalsRowDxfId="140"/>
    <tableColumn id="4" xr3:uid="{F71D1C63-B2B8-4870-8B8E-57539C888CEF}" name="Mexico" dataDxfId="139" totalsRowDxfId="138"/>
    <tableColumn id="5" xr3:uid="{A7D64EEA-1F61-4F8F-BC9C-D14B1875246B}" name="Nicaragua" dataDxfId="137" totalsRowDxfId="136"/>
    <tableColumn id="6" xr3:uid="{5A533934-C9D4-480C-946C-8E0387054317}" name="Brazil" dataDxfId="135" totalsRowDxfId="134"/>
    <tableColumn id="7" xr3:uid="{BE829A92-FC81-4A5B-8D6C-CF31A7FFD6B0}" name="EQX" dataDxfId="133" totalsRowDxfId="132"/>
  </tableColumns>
  <tableStyleInfo name="TableStyleLight9 1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2CCCFE2-84C0-47F7-9CA8-899A6B39A612}" name="Table48" displayName="Table48" ref="B12:M15" totalsRowCount="1" headerRowDxfId="131" dataDxfId="130" totalsRowDxfId="129">
  <autoFilter ref="B12:M14" xr:uid="{F2CCCFE2-84C0-47F7-9CA8-899A6B39A612}"/>
  <tableColumns count="12">
    <tableColumn id="1" xr3:uid="{00C236DF-CA1D-4118-BC6A-BEF1994EC703}" name="Total Waste Generated FY2025 (t)" totalsRowLabel="Total" dataDxfId="128" totalsRowDxfId="127"/>
    <tableColumn id="2" xr3:uid="{E256E8F6-E2EB-4162-93AD-177D08511DCE}" name="Greenstone" totalsRowFunction="sum" dataDxfId="126" totalsRowDxfId="125"/>
    <tableColumn id="11" xr3:uid="{81A6739F-53CC-426A-89A2-02EF11603164}" name="Valentine" totalsRowFunction="sum" dataDxfId="124" totalsRowDxfId="123"/>
    <tableColumn id="13" xr3:uid="{866C0BB4-21D4-448B-8992-810A39FB84CD}" name="Mesquite" totalsRowFunction="sum" dataDxfId="122" totalsRowDxfId="121"/>
    <tableColumn id="3" xr3:uid="{2F9466D2-B531-49DC-ADDF-C77F7E46A668}" name="Castle Mountain" totalsRowFunction="sum" dataDxfId="120" totalsRowDxfId="119"/>
    <tableColumn id="5" xr3:uid="{6FA0E2FF-8B25-44FB-96E1-A9324AA7DD31}" name="Los Filos" totalsRowFunction="sum" dataDxfId="118" totalsRowDxfId="117"/>
    <tableColumn id="6" xr3:uid="{62242363-1D57-4A62-AD94-1CB78AEE3A09}" name="El Limon" totalsRowFunction="sum" dataDxfId="116" totalsRowDxfId="115"/>
    <tableColumn id="7" xr3:uid="{C452BA74-33A6-4000-A235-3219C135433D}" name="La Libertad" totalsRowFunction="sum" dataDxfId="114" totalsRowDxfId="113"/>
    <tableColumn id="8" xr3:uid="{F30EA1E5-12EA-47AE-9E5C-D728B0A25CBA}" name="Aurizona" totalsRowFunction="sum" dataDxfId="112" totalsRowDxfId="111"/>
    <tableColumn id="9" xr3:uid="{CA199E97-8951-4AB0-AFA8-AFFE5FEF20A3}" name="Bahia" totalsRowFunction="sum" dataDxfId="110" totalsRowDxfId="109"/>
    <tableColumn id="10" xr3:uid="{802FF8D2-AE1A-4373-A9CB-E40DC6456866}" name="RDM" totalsRowFunction="sum" dataDxfId="108" totalsRowDxfId="107"/>
    <tableColumn id="12" xr3:uid="{EFCF5FE1-ED50-4A38-BDA4-939923B429AF}" name="EQX" totalsRowFunction="sum" dataDxfId="106" totalsRowDxfId="105">
      <calculatedColumnFormula>SUM(Table48[[#This Row],[Greenstone]:[RDM]])</calculatedColumnFormula>
    </tableColumn>
  </tableColumns>
  <tableStyleInfo name="TableStyleLight9"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1B651C0-345D-425D-A1CB-5B56849DB221}" name="Table49" displayName="Table49" ref="B17:M20" totalsRowCount="1" headerRowDxfId="104" dataDxfId="103" totalsRowDxfId="102">
  <autoFilter ref="B17:M19" xr:uid="{01B651C0-345D-425D-A1CB-5B56849DB221}"/>
  <tableColumns count="12">
    <tableColumn id="1" xr3:uid="{F7EA033A-0C9A-43D2-A6F0-1526EF3413E9}" name="Non-Mineral Waste Generated FY2025 (t)" totalsRowLabel="Total" dataDxfId="101" totalsRowDxfId="100"/>
    <tableColumn id="2" xr3:uid="{1BD3256B-99F3-4614-802D-DEFA43B4402A}" name="Greenstone" totalsRowFunction="sum" dataDxfId="99" totalsRowDxfId="98"/>
    <tableColumn id="11" xr3:uid="{80749C66-EC62-450F-8A96-FC8855CAE179}" name="Valentine" totalsRowFunction="sum" dataDxfId="97" totalsRowDxfId="96"/>
    <tableColumn id="13" xr3:uid="{F3DB5DF3-1AC2-437D-BE5F-7C04591BD122}" name="Mesquite" totalsRowFunction="sum" dataDxfId="95" totalsRowDxfId="94"/>
    <tableColumn id="3" xr3:uid="{36C179AC-9B72-4356-9393-1584F037F718}" name="Castle Mountain" totalsRowFunction="sum" dataDxfId="93" totalsRowDxfId="92"/>
    <tableColumn id="5" xr3:uid="{33E1C24A-04B8-479A-A16F-E4A500ED0A73}" name="Los Filos" totalsRowFunction="sum" dataDxfId="91" totalsRowDxfId="90"/>
    <tableColumn id="6" xr3:uid="{AA0673BA-1829-4AD6-9598-5D90CAD97820}" name="El Limon" totalsRowFunction="sum" dataDxfId="89" totalsRowDxfId="88"/>
    <tableColumn id="7" xr3:uid="{6323B563-8B89-4371-AEBC-32F27B76954B}" name="La Libertad" totalsRowFunction="sum" dataDxfId="87" totalsRowDxfId="86"/>
    <tableColumn id="8" xr3:uid="{E2019314-990E-49DC-B8B7-DCBE1556637A}" name="Aurizona" totalsRowFunction="sum" dataDxfId="85" totalsRowDxfId="84"/>
    <tableColumn id="9" xr3:uid="{25EA1BFF-FAE3-48A5-ADD8-6FFF26F6A4B6}" name="Bahia" totalsRowFunction="sum" dataDxfId="83" totalsRowDxfId="82"/>
    <tableColumn id="10" xr3:uid="{E55F0F80-DBFF-4E09-AE77-47EB03E7AC5F}" name="RDM" totalsRowFunction="sum" dataDxfId="81" totalsRowDxfId="80"/>
    <tableColumn id="12" xr3:uid="{71FDBCEB-2290-4329-A2EA-F4E7C02144AD}" name="EQX" totalsRowFunction="sum" dataDxfId="79" totalsRowDxfId="78"/>
  </tableColumns>
  <tableStyleInfo name="TableStyleLight9"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549856F-0F77-4E7E-AE83-9B5B01BF910F}" name="Table50" displayName="Table50" ref="B22:M25" totalsRowCount="1" headerRowDxfId="77" dataDxfId="76" totalsRowDxfId="75">
  <autoFilter ref="B22:M24" xr:uid="{2549856F-0F77-4E7E-AE83-9B5B01BF910F}"/>
  <tableColumns count="12">
    <tableColumn id="1" xr3:uid="{12CE4D9B-DDE7-41D4-847C-76E6187E21BD}" name="Mineral Waste Generated FY2025 (t)" totalsRowLabel="Total" dataDxfId="74" totalsRowDxfId="73"/>
    <tableColumn id="2" xr3:uid="{3E4BB25B-C953-4EAC-9BFE-DD6B975B6B8F}" name="Greenstone" totalsRowFunction="custom" dataDxfId="72" totalsRowDxfId="71">
      <totalsRowFormula>SUM(C23+C24)</totalsRowFormula>
    </tableColumn>
    <tableColumn id="11" xr3:uid="{5F658426-66C3-4F50-A0F2-668A50600AC9}" name="Valentine" totalsRowFunction="custom" dataDxfId="70" totalsRowDxfId="69">
      <totalsRowFormula>SUM(D23+D24)</totalsRowFormula>
    </tableColumn>
    <tableColumn id="13" xr3:uid="{5635BA6C-1C12-440E-8E54-BF09AFB628AC}" name="Mesquite" totalsRowFunction="custom" dataDxfId="68" totalsRowDxfId="67">
      <totalsRowFormula>SUM(E23+E24)</totalsRowFormula>
    </tableColumn>
    <tableColumn id="3" xr3:uid="{A97B5179-80A5-4BC5-A0C1-68A2D31FA09A}" name="Castle Mountain" totalsRowFunction="custom" dataDxfId="66" totalsRowDxfId="65">
      <totalsRowFormula>SUM(F23+F24)</totalsRowFormula>
    </tableColumn>
    <tableColumn id="5" xr3:uid="{057F0F32-4704-42BD-983E-3118086889FB}" name="Los Filos" totalsRowFunction="custom" dataDxfId="64" totalsRowDxfId="63">
      <totalsRowFormula>SUM(G23+G24)</totalsRowFormula>
    </tableColumn>
    <tableColumn id="6" xr3:uid="{21F374C2-C875-4D8D-932F-E03CDCC84691}" name="El Limon" totalsRowFunction="custom" dataDxfId="62" totalsRowDxfId="61">
      <totalsRowFormula>SUM(H23+H24)</totalsRowFormula>
    </tableColumn>
    <tableColumn id="7" xr3:uid="{722DD82E-49A2-40A5-80CB-02B71AB14A8F}" name="La Libertad" totalsRowFunction="custom" dataDxfId="60" totalsRowDxfId="59">
      <totalsRowFormula>SUM(I23+I24)</totalsRowFormula>
    </tableColumn>
    <tableColumn id="8" xr3:uid="{670329F9-C7A2-45DE-BF2F-D26198A7DFF5}" name="Aurizona" totalsRowFunction="custom" dataDxfId="58" totalsRowDxfId="57">
      <totalsRowFormula>SUM(J23+J24)</totalsRowFormula>
    </tableColumn>
    <tableColumn id="9" xr3:uid="{1369D8CE-104E-4EA3-A37B-04448582F10F}" name="Bahia" totalsRowFunction="custom" dataDxfId="56" totalsRowDxfId="55">
      <totalsRowFormula>SUM(K23+K24)</totalsRowFormula>
    </tableColumn>
    <tableColumn id="10" xr3:uid="{B3757DAF-13A3-466E-9AAE-2AF975E79471}" name="RDM" totalsRowFunction="custom" dataDxfId="54" totalsRowDxfId="53">
      <totalsRowFormula>SUM(L23+L24)</totalsRowFormula>
    </tableColumn>
    <tableColumn id="12" xr3:uid="{8C309533-7023-4BE8-943E-5C17884FCD1D}" name="EQX" totalsRowFunction="custom" dataDxfId="52" totalsRowDxfId="51">
      <totalsRowFormula>SUM(M23+M24)</totalsRowFormula>
    </tableColumn>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A4C2A20-A110-4F11-A1EB-09C7A0F6C482}" name="Table51" displayName="Table51" ref="B31:M52" totalsRowShown="0" headerRowDxfId="50" dataDxfId="49">
  <autoFilter ref="B31:M52" xr:uid="{FA4C2A20-A110-4F11-A1EB-09C7A0F6C482}"/>
  <tableColumns count="12">
    <tableColumn id="1" xr3:uid="{C7198172-A179-4E93-A026-4567AE8FC086}" name="Non-Mineral Waste Diverted from Disposal FY2025 (t)" dataDxfId="48"/>
    <tableColumn id="2" xr3:uid="{1789BA11-BBEE-4BAE-99A5-F7E4681C36A9}" name="Greenstone(1)" dataDxfId="47"/>
    <tableColumn id="11" xr3:uid="{6D47783F-9BBB-4AF6-BA5A-85F90855332C}" name="Valentine" dataDxfId="46"/>
    <tableColumn id="13" xr3:uid="{DAA9197B-EC26-4E19-A8AF-56617DB36F32}" name="Mesquite" dataDxfId="45"/>
    <tableColumn id="3" xr3:uid="{A3DD4D63-1D20-451C-A0E4-0C4998C4B854}" name="Castle Mountain" dataDxfId="44"/>
    <tableColumn id="5" xr3:uid="{9ACDD9BF-5623-4D3E-9714-328D21A7CCFA}" name="Los Filos" dataDxfId="43"/>
    <tableColumn id="6" xr3:uid="{65183E4A-B525-4403-85F6-666BB0020330}" name="El Limon" dataDxfId="42"/>
    <tableColumn id="7" xr3:uid="{30C76C03-FFFB-43E6-8232-8128E97537AD}" name="La Libertad" dataDxfId="41"/>
    <tableColumn id="8" xr3:uid="{E86A3924-4E06-4ACB-A785-140B739EC46A}" name="Aurizona" dataDxfId="40"/>
    <tableColumn id="9" xr3:uid="{37EC09DB-B6E6-49B1-87E4-3465A7F635FE}" name="Bahia" dataDxfId="39"/>
    <tableColumn id="10" xr3:uid="{D26DDFAF-2E73-4634-AB3D-A0DA21D886B3}" name="RDM" dataDxfId="38"/>
    <tableColumn id="12" xr3:uid="{574A105C-95C5-4D62-871F-61199186217F}" name="EQX" dataDxfId="37"/>
  </tableColumns>
  <tableStyleInfo name="TableStyleLight9"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493BBC76-A732-4E7E-9A13-65A0F291B2D4}" name="Table52" displayName="Table52" ref="B58:M85" totalsRowShown="0" headerRowDxfId="36" dataDxfId="35">
  <autoFilter ref="B58:M85" xr:uid="{493BBC76-A732-4E7E-9A13-65A0F291B2D4}"/>
  <tableColumns count="12">
    <tableColumn id="1" xr3:uid="{8A2CA5FA-4D4F-4F2F-9781-1D0E24DA5CF6}" name="Non-Mineral Waste Directed to Disposal FY2025 (t)" dataDxfId="34"/>
    <tableColumn id="2" xr3:uid="{C47739B6-D262-482D-8C07-38C63A9C7FA4}" name="Greenstone" dataDxfId="33"/>
    <tableColumn id="11" xr3:uid="{79DEEB0C-C0F3-4798-B47B-660A32BA5B17}" name="Valentine" dataDxfId="32"/>
    <tableColumn id="13" xr3:uid="{DF9E4D63-CB73-4263-B2AE-04B1AC5E192C}" name="Mesquite" dataDxfId="31"/>
    <tableColumn id="3" xr3:uid="{C131C9B0-E14A-4B00-9191-B27FDA4C980E}" name="Castle Mountain" dataDxfId="30"/>
    <tableColumn id="5" xr3:uid="{A533EB47-CD2C-44B6-BA6F-97EBF9969343}" name="Los Filos" dataDxfId="29"/>
    <tableColumn id="6" xr3:uid="{EA26DA8F-7A96-4795-9505-5F99A616B9CB}" name="El Limon" dataDxfId="28"/>
    <tableColumn id="7" xr3:uid="{DE6E4F12-BC77-4771-86A0-6FE4ABEA0FF8}" name="La Libertad" dataDxfId="27"/>
    <tableColumn id="8" xr3:uid="{1ABBE45C-6764-4D0A-9D46-42B9312F0705}" name="Aurizona" dataDxfId="26"/>
    <tableColumn id="9" xr3:uid="{A6E9AF6B-8C97-4640-AE13-9174C51247F0}" name="Bahia" dataDxfId="25"/>
    <tableColumn id="10" xr3:uid="{F52CEF30-F730-4490-8BC5-B5C397006859}" name="RDM" dataDxfId="24"/>
    <tableColumn id="12" xr3:uid="{C5A5F6E8-B6D2-41CD-95C0-2DBF903BAE7A}" name="EQX" dataDxfId="23"/>
  </tableColumns>
  <tableStyleInfo name="TableStyleLight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9BA5A7EB-9C37-4A6F-AACB-77C9052E39EC}" name="Table63" displayName="Table63" ref="B90:C92" totalsRowShown="0" headerRowDxfId="22" dataDxfId="21">
  <autoFilter ref="B90:C92" xr:uid="{9BA5A7EB-9C37-4A6F-AACB-77C9052E39EC}"/>
  <tableColumns count="2">
    <tableColumn id="1" xr3:uid="{3428252A-73FA-48C4-B261-206730917BD9}" name="Incidents Associated with Hazardous Materials &amp; Waste Management" dataDxfId="20"/>
    <tableColumn id="5" xr3:uid="{FE36F304-074A-468C-8E39-C8AF29E8E5D2}" name="EQX" dataDxfId="19"/>
  </tableColumns>
  <tableStyleInfo name="TableStyleLight9"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3DD7B691-3F47-420C-9FB4-D55A140DAF40}" name="Table22115" displayName="Table22115" ref="B98:C100" totalsRowShown="0" headerRowDxfId="18" dataDxfId="17">
  <autoFilter ref="B98:C100" xr:uid="{3DD7B691-3F47-420C-9FB4-D55A140DAF40}"/>
  <tableColumns count="2">
    <tableColumn id="1" xr3:uid="{732E9F23-4A84-4E10-B9EE-CD027EA60D05}" name="Critical Environmental Incidents(1) by Consequence Ranking FY2023-2025" dataDxfId="16"/>
    <tableColumn id="4" xr3:uid="{D69F7F6E-33F8-4122-9C46-C343F9E41E8C}" name="EQX" dataDxfId="15"/>
  </tableColumns>
  <tableStyleInfo name="TableStyleLight9"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319DFB3-EB2C-4329-A527-D55CCE0A4BBA}" name="Table41" displayName="Table41" ref="B32:M41" totalsRowShown="0" headerRowDxfId="682" dataDxfId="681">
  <autoFilter ref="B32:M41" xr:uid="{C319DFB3-EB2C-4329-A527-D55CCE0A4BBA}"/>
  <tableColumns count="12">
    <tableColumn id="1" xr3:uid="{E0C8CCAE-CEFB-4A57-BE7E-2B9A1BBDD262}" name="Water Discharge FY2025 (m3)(1)" dataDxfId="680"/>
    <tableColumn id="2" xr3:uid="{870587D8-58FB-4B48-B1CE-D0BD7517A727}" name="Greenstone" dataDxfId="679" dataCellStyle="Comma"/>
    <tableColumn id="11" xr3:uid="{423EB941-52FB-42BB-B248-D0F88B69B9DE}" name="Valentine" dataDxfId="678" dataCellStyle="Comma"/>
    <tableColumn id="13" xr3:uid="{625CF5D2-D501-4E51-8E3D-82D93A8C242E}" name="Mesquite(2)" dataDxfId="677" dataCellStyle="Comma"/>
    <tableColumn id="3" xr3:uid="{FA362089-0070-4A7A-97B7-F9A4BD3C9E43}" name="Castle Mountain" dataDxfId="676" dataCellStyle="Comma"/>
    <tableColumn id="5" xr3:uid="{A3D7D038-DB25-46E4-BE24-8F5035172C3A}" name="Los Filos" dataDxfId="675" dataCellStyle="Comma"/>
    <tableColumn id="6" xr3:uid="{1526BB49-E840-425A-BD98-7E566FDF5EAA}" name="El Limon" dataDxfId="674" dataCellStyle="Comma"/>
    <tableColumn id="7" xr3:uid="{673389E9-FC4D-4F81-B678-C9283CC5FAFB}" name="La Libertad" dataDxfId="673" dataCellStyle="Comma"/>
    <tableColumn id="8" xr3:uid="{E4D5866B-8D65-46F0-89B9-09429E90911E}" name="Aurizona" dataDxfId="672" dataCellStyle="Comma"/>
    <tableColumn id="9" xr3:uid="{93CA22AE-A95F-4B0F-A5AF-401A83648B37}" name="Bahia" dataDxfId="671" dataCellStyle="Comma"/>
    <tableColumn id="10" xr3:uid="{1B639B83-F4C7-48B3-850A-9A3816BB67BE}" name="RDM" dataDxfId="670" dataCellStyle="Comma">
      <calculatedColumnFormula>SUM(Table41[[#This Row],[Greenstone]:[Bahia]])</calculatedColumnFormula>
    </tableColumn>
    <tableColumn id="12" xr3:uid="{E0868207-CDFD-4367-881D-90342AD571A2}" name="EQX" dataDxfId="669" dataCellStyle="Comma"/>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8BC893C-2BF9-4682-ABF5-E46D253CA356}" name="Table38" displayName="Table38" ref="B63:E75" totalsRowCount="1" headerRowDxfId="619" dataDxfId="618" totalsRowDxfId="617">
  <autoFilter ref="B63:E74" xr:uid="{18BC893C-2BF9-4682-ABF5-E46D253CA356}"/>
  <tableColumns count="4">
    <tableColumn id="1" xr3:uid="{72BD1C95-8257-41F5-B48C-4FE8D8D3D2B4}" name="Site / Operation" totalsRowLabel="Total" dataDxfId="616" totalsRowDxfId="615"/>
    <tableColumn id="2" xr3:uid="{E6046C89-95E4-4EFC-8B23-40689DBD1AF9}" name="Gold Produced Full Year (oz)(1)" totalsRowFunction="sum" dataDxfId="614" totalsRowDxfId="613"/>
    <tableColumn id="3" xr3:uid="{E76C70FF-90AC-4F55-9A82-58E2D176A49C}" name="Gold Produced Attributable to EQX for the Period of Ownership (oz)(1) " totalsRowFunction="sum" dataDxfId="612" totalsRowDxfId="611"/>
    <tableColumn id="4" xr3:uid="{090E2DB6-65D8-4B8B-8C2D-DAF4DAA4CF08}" name="Tonnes Processed Attributable to EQX for the Period of Ownership (kt)" totalsRowFunction="sum" dataDxfId="610" totalsRowDxfId="609"/>
  </tableColumns>
  <tableStyleInfo name="TableStyleLight9 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A799944-EB3B-4BE8-8A73-C3E62FDC17F1}" name="Table6366" displayName="Table6366" ref="B55:C56" totalsRowShown="0" headerRowDxfId="668" dataDxfId="667">
  <autoFilter ref="B55:C56" xr:uid="{EA799944-EB3B-4BE8-8A73-C3E62FDC17F1}"/>
  <tableColumns count="2">
    <tableColumn id="1" xr3:uid="{31DD6B37-8593-4A1C-B70D-E93B16C0C26E}" name="Incidents of Non-Compliance Associated with Water Quality Permits, Standards and Regulations" dataDxfId="666"/>
    <tableColumn id="5" xr3:uid="{4C9E4924-F80B-4A93-B7DF-227AACF4B305}" name="EQX" dataDxfId="665"/>
  </tableColumns>
  <tableStyleInfo name="TableStyleLight9"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C13FB65D-D246-48E4-9CD6-B08E9F104BB9}" name="Table123" displayName="Table123" ref="B47:L50" totalsRowShown="0" headerRowDxfId="664" dataDxfId="663">
  <autoFilter ref="B47:L50" xr:uid="{C13FB65D-D246-48E4-9CD6-B08E9F104BB9}"/>
  <tableColumns count="11">
    <tableColumn id="1" xr3:uid="{D6BFB9F7-CC30-4302-82FC-7FAC0894C61B}" name="Acid Rock Drainage (ARD) Management" dataDxfId="662"/>
    <tableColumn id="2" xr3:uid="{FDB1D5B0-242B-4EF0-804F-FB21DFF64C4A}" name="Greenstone" dataDxfId="661"/>
    <tableColumn id="3" xr3:uid="{0846DD5B-5654-422F-B12B-036C0F6E61ED}" name="Valentine" dataDxfId="660"/>
    <tableColumn id="4" xr3:uid="{55147AC4-E22C-4381-A0A3-778887F1E116}" name="Mesquite" dataDxfId="659"/>
    <tableColumn id="5" xr3:uid="{5B16C909-7814-4E3F-9F37-329BC5AAE797}" name="Castle Mountain" dataDxfId="658"/>
    <tableColumn id="6" xr3:uid="{9AA65765-21F9-4A37-8A28-32471A0030F5}" name="Los Filos" dataDxfId="657"/>
    <tableColumn id="7" xr3:uid="{B1854D3E-1173-4699-8179-C9D413BA5336}" name="El Limon" dataDxfId="656"/>
    <tableColumn id="8" xr3:uid="{C91371FA-DCFC-44E7-A9F1-90F9B99635A9}" name="La Libertad" dataDxfId="655"/>
    <tableColumn id="9" xr3:uid="{F53D2307-010D-4316-A89B-16B5B0167836}" name="Aurizona" dataDxfId="654"/>
    <tableColumn id="10" xr3:uid="{49C9150B-365F-4217-8C21-D1C75E71B8E5}" name="Bahia" dataDxfId="653"/>
    <tableColumn id="11" xr3:uid="{39C3A542-F3FA-49EF-8A98-94AE24FB5DE7}" name="RDM" dataDxfId="652"/>
  </tableColumns>
  <tableStyleInfo name="TableStyleLight9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8B08F44-73A8-4E8C-9081-DD51CE40D32B}" name="Table16" displayName="Table16" ref="B19:N35" totalsRowShown="0" headerRowDxfId="14" dataDxfId="13">
  <autoFilter ref="B19:N35" xr:uid="{88B08F44-73A8-4E8C-9081-DD51CE40D32B}"/>
  <tableColumns count="13">
    <tableColumn id="1" xr3:uid="{123CC4C3-9855-44BA-93FB-EF770D4695D8}" name="Facility Name/Identifier(1)" dataDxfId="12"/>
    <tableColumn id="2" xr3:uid="{B21C1023-CB19-4DC4-B832-C07397DE7310}" name="Location" dataDxfId="11"/>
    <tableColumn id="4" xr3:uid="{476533BE-71A7-4A3D-ABA8-12B4CD3A394B}" name="Ownership" dataDxfId="10"/>
    <tableColumn id="5" xr3:uid="{B802EE3F-A2F7-439F-ACF6-5BC718CF0CF7}" name="Status" dataDxfId="9"/>
    <tableColumn id="6" xr3:uid="{E99D4948-38E7-446E-9A38-A17099CB68B0}" name="Date of initial operation" dataDxfId="8"/>
    <tableColumn id="7" xr3:uid="{C57343AD-E377-4E30-814B-533A00D4F1A6}" name=" Pad Type" dataDxfId="7"/>
    <tableColumn id="8" xr3:uid="{934B6AF9-78A7-43C9-8F9C-33B99B6A7F3E}" name="Heap Operating Method" dataDxfId="6"/>
    <tableColumn id="9" xr3:uid="{0B485B53-719C-4980-88A1-FD55A0F0EE94}" name="Footprint Area (ha)" dataDxfId="5"/>
    <tableColumn id="10" xr3:uid="{8895CDF0-2D49-431D-87B4-409B84A7D320}" name="Natural Ground Slope (%)" dataDxfId="4"/>
    <tableColumn id="11" xr3:uid="{B24CA9EB-B8F0-4963-B809-008E531356C5}" name="Current Height of Heap (m)" dataDxfId="3"/>
    <tableColumn id="12" xr3:uid="{C570AA1A-3F8A-4385-929C-5EF254167666}" name="Max. Height of Heap (m)" dataDxfId="2"/>
    <tableColumn id="15" xr3:uid="{BE144F64-175F-442A-B899-EE64AD9C6BD3}" name="Storage Capacity as of Dec 31, 2025 (Mm3)" dataDxfId="1"/>
    <tableColumn id="16" xr3:uid="{401B57B4-CBA1-4681-BC62-2C5009988C7B}" name="Ultimate Storage Capacity (Mm3)" dataDxfId="0"/>
  </tableColumns>
  <tableStyleInfo name="TableStyleLight9 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B4DB8CD-7139-43E7-9963-8E41A433CDBD}" name="Table11" displayName="Table11" ref="B57:H58" totalsRowShown="0" headerRowDxfId="608" dataDxfId="607">
  <autoFilter ref="B57:H58" xr:uid="{7B4DB8CD-7139-43E7-9963-8E41A433CDBD}"/>
  <tableColumns count="7">
    <tableColumn id="1" xr3:uid="{9B76C755-D088-41C9-A7C5-FBE7680504A4}" name="Topic" dataDxfId="606"/>
    <tableColumn id="2" xr3:uid="{0C222F89-F120-4B81-9C8F-C53770FF5C14}" name="Disclosure / Indicator" dataDxfId="605"/>
    <tableColumn id="3" xr3:uid="{42B52E6A-AA0B-4A3E-9D1B-73B042C5D571}" name="Originally Reported (2024)" dataDxfId="604"/>
    <tableColumn id="4" xr3:uid="{9EEFB0DB-5984-42CA-B751-6816C4C9AE00}" name="Restated Information" dataDxfId="603" dataCellStyle="Hyperlink"/>
    <tableColumn id="6" xr3:uid="{14881A81-51A6-47B4-BB4F-E004B4892872}" name="Nature of Restatement" dataDxfId="602"/>
    <tableColumn id="7" xr3:uid="{BB9B1B75-8764-48F3-A38A-0A67C267550E}" name="Reason for Restatement" dataDxfId="601"/>
    <tableColumn id="8" xr3:uid="{C114F6DB-7200-4390-8D8D-6510399DACB4}" name="Impact on Trends or Comparability" dataDxfId="600"/>
  </tableColumns>
  <tableStyleInfo name="TableStyleLight9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E846182C-FBF0-4B82-BD94-0082B6FEC725}" name="Table4447" displayName="Table4447" ref="B27:M36" totalsRowShown="0" headerRowDxfId="599" dataDxfId="598">
  <autoFilter ref="B27:M36" xr:uid="{E846182C-FBF0-4B82-BD94-0082B6FEC725}"/>
  <tableColumns count="12">
    <tableColumn id="1" xr3:uid="{11EBCEB7-1F3F-490F-AE7A-06B5D1F61FDF}" name="Areas Disturbed or Rehabilitated FY2025" dataDxfId="597"/>
    <tableColumn id="2" xr3:uid="{4CA540C9-F7CA-479D-BA96-6B689A6061C5}" name="Greenstone" dataDxfId="596"/>
    <tableColumn id="11" xr3:uid="{BE0989D0-1A0A-4A4C-9C06-652E1616451A}" name="Valentine" dataDxfId="595"/>
    <tableColumn id="9" xr3:uid="{930F2A3F-397D-470C-86BE-429A1ECB91AC}" name="Mesquite" dataDxfId="594"/>
    <tableColumn id="12" xr3:uid="{77BE4A0C-2E44-425B-83BD-A878B91B46DD}" name="Castle Mountain" dataDxfId="593"/>
    <tableColumn id="13" xr3:uid="{C6892316-4FBC-43E8-9F03-5B141928B360}" name="Los Filos" dataDxfId="592"/>
    <tableColumn id="4" xr3:uid="{AC227DBB-8AC1-4027-BE5B-F7A10517ED2F}" name="El Limon" dataDxfId="591"/>
    <tableColumn id="5" xr3:uid="{56A4A450-087C-4B94-B869-55F02D3EB4F7}" name="La Libertad" dataDxfId="590"/>
    <tableColumn id="6" xr3:uid="{BF4268AB-1D5B-4F51-8CED-5B9C6E439731}" name="Aurizona" dataDxfId="589"/>
    <tableColumn id="7" xr3:uid="{962936E7-BB65-4AE7-A924-CE0D131BB7E6}" name="Bahia(1)" dataDxfId="588"/>
    <tableColumn id="8" xr3:uid="{66573184-BD27-4E7E-88AC-1ACA5555CF60}" name="RDM" dataDxfId="587"/>
    <tableColumn id="10" xr3:uid="{07BDB360-0D9E-47D0-9207-8864E5044E58}" name="EQX" dataDxfId="586"/>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7DA134B-A58B-4977-851E-3CBFFF2E8100}" name="Table109" displayName="Table109" ref="B12:M21" totalsRowShown="0" headerRowDxfId="585" dataDxfId="584">
  <autoFilter ref="B12:M21" xr:uid="{87DA134B-A58B-4977-851E-3CBFFF2E8100}"/>
  <tableColumns count="12">
    <tableColumn id="1" xr3:uid="{EE875361-1B17-49CB-A67C-FB4F7B1CB9A7}" name="Biodiversity Overview FY2025" dataDxfId="583"/>
    <tableColumn id="2" xr3:uid="{BC1125A1-1644-4142-9AB2-56B860CC110B}" name="Greenstone" dataDxfId="582"/>
    <tableColumn id="3" xr3:uid="{DB54EA63-4F9B-4CC5-9FB6-F9B9A472613A}" name="Valentine" dataDxfId="581"/>
    <tableColumn id="13" xr3:uid="{83A47EDE-F2B9-49A3-B0C1-549C473AB576}" name="Mesquite" dataDxfId="580"/>
    <tableColumn id="4" xr3:uid="{9A4F75EA-191A-4ABA-840B-E7635A5FDAF8}" name="Castle Mountain" dataDxfId="579"/>
    <tableColumn id="6" xr3:uid="{39DB22BE-4389-40C6-BE55-413A4ED94B71}" name="Los Filos" dataDxfId="578"/>
    <tableColumn id="7" xr3:uid="{EA45B21C-F7CC-44CF-A225-A628851EDF16}" name="El Limon" dataDxfId="577"/>
    <tableColumn id="8" xr3:uid="{AC9B4298-DD36-495E-9396-9328A5AD1328}" name="La Libertad" dataDxfId="576"/>
    <tableColumn id="9" xr3:uid="{6D7EA009-8FC5-4B42-A859-4487A05CFA8D}" name="Aurizona(7)" dataDxfId="575"/>
    <tableColumn id="10" xr3:uid="{120EA3E3-B799-4163-89D7-79C5F4341189}" name="Bahia" dataDxfId="574"/>
    <tableColumn id="11" xr3:uid="{F5F88540-6F61-4A14-8FBC-FB09A3F0EDE9}" name="RDM" dataDxfId="573"/>
    <tableColumn id="12" xr3:uid="{F96CBD06-1ED1-47DB-B184-7084DBFB7777}" name="EQX" dataDxfId="57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60" dT="2026-05-22T01:13:27.36" personId="{96D5014E-BD1E-0846-9D17-F2DC564FC9A8}" id="{B485C050-67CE-5443-B332-6559F405030F}">
    <text>This is a bit confusing, I would recommend putting all values, so that it is clear how you are getting to the values in the 2024 column.. if I add up only the two columns they dont add up to what you have in 2024. And I assume it is because Its adding up the other sites.. Anyway, it reads a bit confusing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equinoxgold.com/wp-content/uploads/2026/06/EQX-2025-Sustainability-Report.pdf"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0.xml"/><Relationship Id="rId1" Type="http://schemas.openxmlformats.org/officeDocument/2006/relationships/hyperlink" Target="https://www.equinoxgold.com/wp-content/uploads/2026/06/EQX-2025-Sustainability-Management-Approach.pdf" TargetMode="External"/><Relationship Id="rId5" Type="http://schemas.openxmlformats.org/officeDocument/2006/relationships/table" Target="../tables/table25.xml"/><Relationship Id="rId4" Type="http://schemas.openxmlformats.org/officeDocument/2006/relationships/table" Target="../tables/table24.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31.xml"/><Relationship Id="rId3" Type="http://schemas.openxmlformats.org/officeDocument/2006/relationships/table" Target="../tables/table26.xml"/><Relationship Id="rId7" Type="http://schemas.openxmlformats.org/officeDocument/2006/relationships/table" Target="../tables/table30.xml"/><Relationship Id="rId2" Type="http://schemas.openxmlformats.org/officeDocument/2006/relationships/drawing" Target="../drawings/drawing11.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29.xml"/><Relationship Id="rId5" Type="http://schemas.openxmlformats.org/officeDocument/2006/relationships/table" Target="../tables/table28.xml"/><Relationship Id="rId10" Type="http://schemas.openxmlformats.org/officeDocument/2006/relationships/table" Target="../tables/table33.xml"/><Relationship Id="rId4" Type="http://schemas.openxmlformats.org/officeDocument/2006/relationships/table" Target="../tables/table27.xml"/><Relationship Id="rId9" Type="http://schemas.openxmlformats.org/officeDocument/2006/relationships/table" Target="../tables/table3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12.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43.xml"/><Relationship Id="rId13" Type="http://schemas.openxmlformats.org/officeDocument/2006/relationships/table" Target="../tables/table48.xml"/><Relationship Id="rId3" Type="http://schemas.openxmlformats.org/officeDocument/2006/relationships/table" Target="../tables/table38.xml"/><Relationship Id="rId7" Type="http://schemas.openxmlformats.org/officeDocument/2006/relationships/table" Target="../tables/table42.xml"/><Relationship Id="rId12" Type="http://schemas.openxmlformats.org/officeDocument/2006/relationships/table" Target="../tables/table47.xml"/><Relationship Id="rId2" Type="http://schemas.openxmlformats.org/officeDocument/2006/relationships/drawing" Target="../drawings/drawing13.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41.xml"/><Relationship Id="rId11" Type="http://schemas.openxmlformats.org/officeDocument/2006/relationships/table" Target="../tables/table46.xml"/><Relationship Id="rId5" Type="http://schemas.openxmlformats.org/officeDocument/2006/relationships/table" Target="../tables/table40.xml"/><Relationship Id="rId10" Type="http://schemas.openxmlformats.org/officeDocument/2006/relationships/table" Target="../tables/table45.xml"/><Relationship Id="rId4" Type="http://schemas.openxmlformats.org/officeDocument/2006/relationships/table" Target="../tables/table39.xml"/><Relationship Id="rId9" Type="http://schemas.openxmlformats.org/officeDocument/2006/relationships/table" Target="../tables/table44.xml"/><Relationship Id="rId14" Type="http://schemas.openxmlformats.org/officeDocument/2006/relationships/table" Target="../tables/table4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14.xml"/><Relationship Id="rId1" Type="http://schemas.openxmlformats.org/officeDocument/2006/relationships/hyperlink" Target="https://www.equinoxgold.com/wp-content/uploads/2026/06/EQX-2025-Sustainability-Management-Approach.pdf" TargetMode="External"/><Relationship Id="rId4" Type="http://schemas.openxmlformats.org/officeDocument/2006/relationships/table" Target="../tables/table51.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57.xml"/><Relationship Id="rId3" Type="http://schemas.openxmlformats.org/officeDocument/2006/relationships/table" Target="../tables/table52.xml"/><Relationship Id="rId7" Type="http://schemas.openxmlformats.org/officeDocument/2006/relationships/table" Target="../tables/table56.xml"/><Relationship Id="rId2" Type="http://schemas.openxmlformats.org/officeDocument/2006/relationships/drawing" Target="../drawings/drawing15.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55.xml"/><Relationship Id="rId5" Type="http://schemas.openxmlformats.org/officeDocument/2006/relationships/table" Target="../tables/table54.xml"/><Relationship Id="rId4" Type="http://schemas.openxmlformats.org/officeDocument/2006/relationships/table" Target="../tables/table53.xml"/><Relationship Id="rId9" Type="http://schemas.openxmlformats.org/officeDocument/2006/relationships/table" Target="../tables/table58.xml"/></Relationships>
</file>

<file path=xl/worksheets/_rels/sheet16.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6.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61.xml"/><Relationship Id="rId5" Type="http://schemas.openxmlformats.org/officeDocument/2006/relationships/table" Target="../tables/table60.xml"/><Relationship Id="rId4" Type="http://schemas.openxmlformats.org/officeDocument/2006/relationships/table" Target="../tables/table59.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4.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bin"/><Relationship Id="rId1" Type="http://schemas.openxmlformats.org/officeDocument/2006/relationships/hyperlink" Target="https://www.equinoxgold.com/wp-content/uploads/2026/06/EQX-2025-Sustainability-Management-Approach.pdf" TargetMode="Externa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drawing" Target="../drawings/drawing7.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8.xml"/><Relationship Id="rId1" Type="http://schemas.openxmlformats.org/officeDocument/2006/relationships/hyperlink" Target="https://www.equinoxgold.com/wp-content/uploads/2026/06/EQX-2025-Sustainability-Management-Approach.pdf" TargetMode="External"/><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equinoxgold.com/wp-content/uploads/2026/06/EQX-2025-Sustainability-Management-Approa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056F-AF62-405A-8832-29A7BBC53A88}">
  <sheetPr>
    <tabColor rgb="FF21405E"/>
  </sheetPr>
  <dimension ref="B2:D74"/>
  <sheetViews>
    <sheetView showGridLines="0" zoomScale="80" zoomScaleNormal="80" workbookViewId="0">
      <selection activeCell="C41" sqref="C41"/>
    </sheetView>
  </sheetViews>
  <sheetFormatPr defaultColWidth="8.88671875" defaultRowHeight="14.4"/>
  <cols>
    <col min="1" max="1" width="3.6640625" customWidth="1"/>
    <col min="2" max="2" width="20.88671875" customWidth="1"/>
    <col min="3" max="3" width="79.6640625" customWidth="1"/>
    <col min="4" max="4" width="71.6640625" bestFit="1" customWidth="1"/>
  </cols>
  <sheetData>
    <row r="2" spans="2:4" s="32" customFormat="1" ht="21">
      <c r="B2" s="33" t="s">
        <v>0</v>
      </c>
    </row>
    <row r="3" spans="2:4">
      <c r="B3" s="1" t="s">
        <v>1</v>
      </c>
    </row>
    <row r="4" spans="2:4">
      <c r="B4" s="459" t="s">
        <v>2</v>
      </c>
    </row>
    <row r="6" spans="2:4" s="19" customFormat="1">
      <c r="B6" s="19" t="s">
        <v>3</v>
      </c>
    </row>
    <row r="7" spans="2:4" ht="44.25" customHeight="1">
      <c r="B7" s="569" t="s">
        <v>4</v>
      </c>
      <c r="C7" s="570"/>
      <c r="D7" s="571"/>
    </row>
    <row r="9" spans="2:4" s="19" customFormat="1">
      <c r="B9" s="19" t="s">
        <v>5</v>
      </c>
    </row>
    <row r="10" spans="2:4" ht="30.75" customHeight="1">
      <c r="B10" s="569" t="s">
        <v>6</v>
      </c>
      <c r="C10" s="570"/>
      <c r="D10" s="571"/>
    </row>
    <row r="12" spans="2:4" s="19" customFormat="1">
      <c r="B12" s="19" t="s">
        <v>7</v>
      </c>
    </row>
    <row r="13" spans="2:4">
      <c r="B13" s="76" t="s">
        <v>8</v>
      </c>
      <c r="C13" s="76" t="s">
        <v>9</v>
      </c>
      <c r="D13" s="76" t="s">
        <v>10</v>
      </c>
    </row>
    <row r="14" spans="2:4">
      <c r="B14" s="77" t="s">
        <v>11</v>
      </c>
      <c r="C14" s="53" t="s">
        <v>12</v>
      </c>
      <c r="D14" s="78" t="s">
        <v>13</v>
      </c>
    </row>
    <row r="15" spans="2:4">
      <c r="B15" s="77" t="s">
        <v>14</v>
      </c>
      <c r="C15" s="53" t="s">
        <v>15</v>
      </c>
      <c r="D15" s="78" t="s">
        <v>16</v>
      </c>
    </row>
    <row r="16" spans="2:4">
      <c r="B16" s="77" t="s">
        <v>17</v>
      </c>
      <c r="C16" s="53" t="s">
        <v>18</v>
      </c>
      <c r="D16" s="78"/>
    </row>
    <row r="17" spans="2:4">
      <c r="B17" s="77" t="s">
        <v>19</v>
      </c>
      <c r="C17" s="53" t="s">
        <v>20</v>
      </c>
      <c r="D17" s="78" t="s">
        <v>21</v>
      </c>
    </row>
    <row r="18" spans="2:4">
      <c r="B18" s="77" t="s">
        <v>19</v>
      </c>
      <c r="C18" s="53" t="s">
        <v>22</v>
      </c>
      <c r="D18" s="79" t="s">
        <v>23</v>
      </c>
    </row>
    <row r="19" spans="2:4" s="2" customFormat="1">
      <c r="B19" s="80" t="s">
        <v>19</v>
      </c>
      <c r="C19" s="53" t="s">
        <v>24</v>
      </c>
      <c r="D19" s="81" t="s">
        <v>25</v>
      </c>
    </row>
    <row r="20" spans="2:4">
      <c r="B20" s="77" t="s">
        <v>19</v>
      </c>
      <c r="C20" s="53" t="s">
        <v>26</v>
      </c>
      <c r="D20" s="78" t="s">
        <v>27</v>
      </c>
    </row>
    <row r="21" spans="2:4">
      <c r="B21" s="77" t="s">
        <v>19</v>
      </c>
      <c r="C21" s="53" t="s">
        <v>28</v>
      </c>
      <c r="D21" s="79" t="s">
        <v>29</v>
      </c>
    </row>
    <row r="22" spans="2:4">
      <c r="B22" s="77" t="s">
        <v>19</v>
      </c>
      <c r="C22" s="53" t="s">
        <v>30</v>
      </c>
      <c r="D22" s="79" t="s">
        <v>29</v>
      </c>
    </row>
    <row r="23" spans="2:4">
      <c r="B23" s="77" t="s">
        <v>31</v>
      </c>
      <c r="C23" s="53" t="s">
        <v>32</v>
      </c>
      <c r="D23" s="78" t="s">
        <v>33</v>
      </c>
    </row>
    <row r="24" spans="2:4">
      <c r="B24" s="77" t="s">
        <v>31</v>
      </c>
      <c r="C24" s="53" t="s">
        <v>34</v>
      </c>
      <c r="D24" s="78" t="s">
        <v>35</v>
      </c>
    </row>
    <row r="25" spans="2:4">
      <c r="B25" s="77" t="s">
        <v>36</v>
      </c>
      <c r="C25" s="53" t="s">
        <v>37</v>
      </c>
      <c r="D25" s="78" t="s">
        <v>38</v>
      </c>
    </row>
    <row r="26" spans="2:4">
      <c r="B26" s="77" t="s">
        <v>36</v>
      </c>
      <c r="C26" s="53" t="s">
        <v>39</v>
      </c>
      <c r="D26" s="78" t="s">
        <v>40</v>
      </c>
    </row>
    <row r="27" spans="2:4">
      <c r="B27" s="77" t="s">
        <v>36</v>
      </c>
      <c r="C27" s="53" t="s">
        <v>41</v>
      </c>
      <c r="D27" s="78" t="s">
        <v>42</v>
      </c>
    </row>
    <row r="28" spans="2:4">
      <c r="B28" s="77" t="s">
        <v>36</v>
      </c>
      <c r="C28" s="53" t="s">
        <v>43</v>
      </c>
      <c r="D28" s="78" t="s">
        <v>44</v>
      </c>
    </row>
    <row r="29" spans="2:4" ht="27.6">
      <c r="B29" s="77" t="s">
        <v>36</v>
      </c>
      <c r="C29" s="53" t="s">
        <v>45</v>
      </c>
      <c r="D29" s="78" t="s">
        <v>46</v>
      </c>
    </row>
    <row r="30" spans="2:4">
      <c r="B30" s="77" t="s">
        <v>47</v>
      </c>
      <c r="C30" s="53" t="s">
        <v>48</v>
      </c>
      <c r="D30" s="78" t="s">
        <v>49</v>
      </c>
    </row>
    <row r="31" spans="2:4">
      <c r="B31" s="77" t="s">
        <v>47</v>
      </c>
      <c r="C31" s="53" t="s">
        <v>50</v>
      </c>
      <c r="D31" s="78" t="s">
        <v>51</v>
      </c>
    </row>
    <row r="32" spans="2:4">
      <c r="B32" s="77" t="s">
        <v>47</v>
      </c>
      <c r="C32" s="53" t="s">
        <v>52</v>
      </c>
      <c r="D32" s="78" t="s">
        <v>53</v>
      </c>
    </row>
    <row r="33" spans="2:4">
      <c r="B33" s="77" t="s">
        <v>47</v>
      </c>
      <c r="C33" s="53" t="s">
        <v>54</v>
      </c>
      <c r="D33" s="78" t="s">
        <v>55</v>
      </c>
    </row>
    <row r="34" spans="2:4">
      <c r="B34" s="77" t="s">
        <v>47</v>
      </c>
      <c r="C34" s="53" t="s">
        <v>56</v>
      </c>
      <c r="D34" s="78" t="s">
        <v>57</v>
      </c>
    </row>
    <row r="35" spans="2:4">
      <c r="B35" s="77" t="s">
        <v>47</v>
      </c>
      <c r="C35" s="53" t="s">
        <v>58</v>
      </c>
      <c r="D35" s="78" t="s">
        <v>59</v>
      </c>
    </row>
    <row r="36" spans="2:4">
      <c r="B36" s="77" t="s">
        <v>47</v>
      </c>
      <c r="C36" s="53" t="s">
        <v>60</v>
      </c>
      <c r="D36" s="78" t="s">
        <v>61</v>
      </c>
    </row>
    <row r="37" spans="2:4">
      <c r="B37" s="77" t="s">
        <v>62</v>
      </c>
      <c r="C37" s="53" t="s">
        <v>63</v>
      </c>
      <c r="D37" s="78" t="s">
        <v>64</v>
      </c>
    </row>
    <row r="38" spans="2:4">
      <c r="B38" s="77" t="s">
        <v>65</v>
      </c>
      <c r="C38" s="53" t="s">
        <v>66</v>
      </c>
      <c r="D38" s="78" t="s">
        <v>67</v>
      </c>
    </row>
    <row r="39" spans="2:4">
      <c r="B39" s="77" t="s">
        <v>65</v>
      </c>
      <c r="C39" s="53" t="s">
        <v>68</v>
      </c>
      <c r="D39" s="78" t="s">
        <v>69</v>
      </c>
    </row>
    <row r="40" spans="2:4">
      <c r="B40" s="77" t="s">
        <v>65</v>
      </c>
      <c r="C40" s="53" t="s">
        <v>70</v>
      </c>
      <c r="D40" s="78" t="s">
        <v>71</v>
      </c>
    </row>
    <row r="41" spans="2:4" ht="27.6">
      <c r="B41" s="77" t="s">
        <v>72</v>
      </c>
      <c r="C41" s="53" t="s">
        <v>73</v>
      </c>
      <c r="D41" s="78" t="s">
        <v>74</v>
      </c>
    </row>
    <row r="42" spans="2:4" ht="27.6">
      <c r="B42" s="77" t="s">
        <v>72</v>
      </c>
      <c r="C42" s="53" t="s">
        <v>75</v>
      </c>
      <c r="D42" s="78" t="s">
        <v>76</v>
      </c>
    </row>
    <row r="43" spans="2:4" ht="27.6">
      <c r="B43" s="77" t="s">
        <v>72</v>
      </c>
      <c r="C43" s="53" t="s">
        <v>77</v>
      </c>
      <c r="D43" s="78" t="s">
        <v>78</v>
      </c>
    </row>
    <row r="44" spans="2:4" ht="27.6">
      <c r="B44" s="77" t="s">
        <v>72</v>
      </c>
      <c r="C44" s="53" t="s">
        <v>79</v>
      </c>
      <c r="D44" s="78" t="s">
        <v>80</v>
      </c>
    </row>
    <row r="45" spans="2:4" ht="27.6">
      <c r="B45" s="77" t="s">
        <v>72</v>
      </c>
      <c r="C45" s="53" t="s">
        <v>81</v>
      </c>
      <c r="D45" s="78" t="s">
        <v>82</v>
      </c>
    </row>
    <row r="46" spans="2:4" ht="27.6">
      <c r="B46" s="77" t="s">
        <v>72</v>
      </c>
      <c r="C46" s="53" t="s">
        <v>83</v>
      </c>
      <c r="D46" s="78" t="s">
        <v>84</v>
      </c>
    </row>
    <row r="47" spans="2:4" ht="27.6">
      <c r="B47" s="77" t="s">
        <v>72</v>
      </c>
      <c r="C47" s="53" t="s">
        <v>85</v>
      </c>
      <c r="D47" s="78" t="s">
        <v>86</v>
      </c>
    </row>
    <row r="48" spans="2:4" ht="27.6">
      <c r="B48" s="77" t="s">
        <v>72</v>
      </c>
      <c r="C48" s="53" t="s">
        <v>87</v>
      </c>
      <c r="D48" s="78" t="s">
        <v>88</v>
      </c>
    </row>
    <row r="49" spans="2:4">
      <c r="B49" s="77" t="s">
        <v>89</v>
      </c>
      <c r="C49" s="53" t="s">
        <v>90</v>
      </c>
      <c r="D49" s="78" t="s">
        <v>91</v>
      </c>
    </row>
    <row r="50" spans="2:4">
      <c r="B50" s="77" t="s">
        <v>89</v>
      </c>
      <c r="C50" s="53" t="s">
        <v>92</v>
      </c>
      <c r="D50" s="78" t="s">
        <v>93</v>
      </c>
    </row>
    <row r="51" spans="2:4">
      <c r="B51" s="77" t="s">
        <v>89</v>
      </c>
      <c r="C51" s="53" t="s">
        <v>94</v>
      </c>
      <c r="D51" s="78" t="s">
        <v>95</v>
      </c>
    </row>
    <row r="52" spans="2:4">
      <c r="B52" s="77" t="s">
        <v>96</v>
      </c>
      <c r="C52" s="53" t="s">
        <v>97</v>
      </c>
      <c r="D52" s="78" t="s">
        <v>98</v>
      </c>
    </row>
    <row r="53" spans="2:4">
      <c r="B53" s="77" t="s">
        <v>96</v>
      </c>
      <c r="C53" s="53" t="s">
        <v>99</v>
      </c>
      <c r="D53" s="78" t="s">
        <v>23</v>
      </c>
    </row>
    <row r="54" spans="2:4">
      <c r="B54" s="77" t="s">
        <v>96</v>
      </c>
      <c r="C54" s="53" t="s">
        <v>100</v>
      </c>
      <c r="D54" s="78" t="s">
        <v>101</v>
      </c>
    </row>
    <row r="55" spans="2:4">
      <c r="B55" s="77" t="s">
        <v>96</v>
      </c>
      <c r="C55" s="53" t="s">
        <v>102</v>
      </c>
      <c r="D55" s="78" t="s">
        <v>103</v>
      </c>
    </row>
    <row r="56" spans="2:4">
      <c r="B56" s="77" t="s">
        <v>96</v>
      </c>
      <c r="C56" s="53" t="s">
        <v>104</v>
      </c>
      <c r="D56" s="78" t="s">
        <v>105</v>
      </c>
    </row>
    <row r="57" spans="2:4">
      <c r="B57" s="77" t="s">
        <v>96</v>
      </c>
      <c r="C57" s="53" t="s">
        <v>106</v>
      </c>
      <c r="D57" s="78" t="s">
        <v>107</v>
      </c>
    </row>
    <row r="58" spans="2:4">
      <c r="B58" s="77" t="s">
        <v>96</v>
      </c>
      <c r="C58" s="53" t="s">
        <v>108</v>
      </c>
      <c r="D58" s="78" t="s">
        <v>109</v>
      </c>
    </row>
    <row r="59" spans="2:4">
      <c r="B59" s="77" t="s">
        <v>96</v>
      </c>
      <c r="C59" s="53" t="s">
        <v>110</v>
      </c>
      <c r="D59" s="78" t="s">
        <v>111</v>
      </c>
    </row>
    <row r="60" spans="2:4">
      <c r="B60" s="77" t="s">
        <v>96</v>
      </c>
      <c r="C60" s="53" t="s">
        <v>112</v>
      </c>
      <c r="D60" s="78" t="s">
        <v>113</v>
      </c>
    </row>
    <row r="61" spans="2:4">
      <c r="B61" s="77" t="s">
        <v>96</v>
      </c>
      <c r="C61" s="53" t="s">
        <v>114</v>
      </c>
      <c r="D61" s="78" t="s">
        <v>115</v>
      </c>
    </row>
    <row r="62" spans="2:4">
      <c r="B62" s="77" t="s">
        <v>116</v>
      </c>
      <c r="C62" s="53" t="s">
        <v>117</v>
      </c>
      <c r="D62" s="78" t="s">
        <v>118</v>
      </c>
    </row>
    <row r="63" spans="2:4">
      <c r="B63" s="77" t="s">
        <v>116</v>
      </c>
      <c r="C63" s="53" t="s">
        <v>119</v>
      </c>
      <c r="D63" s="78" t="s">
        <v>120</v>
      </c>
    </row>
    <row r="64" spans="2:4">
      <c r="B64" s="77" t="s">
        <v>121</v>
      </c>
      <c r="C64" s="53" t="s">
        <v>122</v>
      </c>
      <c r="D64" s="78" t="s">
        <v>123</v>
      </c>
    </row>
    <row r="65" spans="2:4">
      <c r="B65" s="77" t="s">
        <v>121</v>
      </c>
      <c r="C65" s="53" t="s">
        <v>124</v>
      </c>
      <c r="D65" s="78" t="s">
        <v>125</v>
      </c>
    </row>
    <row r="66" spans="2:4">
      <c r="B66" s="77" t="s">
        <v>121</v>
      </c>
      <c r="C66" s="53" t="s">
        <v>126</v>
      </c>
      <c r="D66" s="78" t="s">
        <v>127</v>
      </c>
    </row>
    <row r="67" spans="2:4">
      <c r="B67" s="77" t="s">
        <v>121</v>
      </c>
      <c r="C67" s="53" t="s">
        <v>128</v>
      </c>
      <c r="D67" s="78" t="s">
        <v>129</v>
      </c>
    </row>
    <row r="68" spans="2:4">
      <c r="B68" s="77" t="s">
        <v>121</v>
      </c>
      <c r="C68" s="53" t="s">
        <v>130</v>
      </c>
      <c r="D68" s="78" t="s">
        <v>131</v>
      </c>
    </row>
    <row r="69" spans="2:4">
      <c r="B69" s="77" t="s">
        <v>132</v>
      </c>
      <c r="C69" s="53" t="s">
        <v>133</v>
      </c>
      <c r="D69" s="78" t="s">
        <v>134</v>
      </c>
    </row>
    <row r="70" spans="2:4">
      <c r="B70" s="77" t="s">
        <v>132</v>
      </c>
      <c r="C70" s="53" t="s">
        <v>135</v>
      </c>
      <c r="D70" s="78" t="s">
        <v>136</v>
      </c>
    </row>
    <row r="71" spans="2:4" ht="27.6">
      <c r="B71" s="77" t="s">
        <v>132</v>
      </c>
      <c r="C71" s="53" t="s">
        <v>137</v>
      </c>
      <c r="D71" s="78" t="s">
        <v>138</v>
      </c>
    </row>
    <row r="72" spans="2:4">
      <c r="B72" s="77" t="s">
        <v>132</v>
      </c>
      <c r="C72" s="53" t="s">
        <v>139</v>
      </c>
      <c r="D72" s="78" t="s">
        <v>140</v>
      </c>
    </row>
    <row r="73" spans="2:4">
      <c r="B73" s="77" t="s">
        <v>141</v>
      </c>
      <c r="C73" s="53" t="s">
        <v>142</v>
      </c>
      <c r="D73" s="78" t="s">
        <v>143</v>
      </c>
    </row>
    <row r="74" spans="2:4">
      <c r="B74" s="77" t="s">
        <v>141</v>
      </c>
      <c r="C74" s="53" t="s">
        <v>144</v>
      </c>
      <c r="D74" s="79" t="s">
        <v>29</v>
      </c>
    </row>
  </sheetData>
  <mergeCells count="2">
    <mergeCell ref="B10:D10"/>
    <mergeCell ref="B7:D7"/>
  </mergeCells>
  <hyperlinks>
    <hyperlink ref="C14" location="GRI_content_index" display="GRI Disclosures, Location, Omissions and Sector Standard Reference" xr:uid="{847AD761-1BF4-4571-A4CD-6AF5E47D24FD}"/>
    <hyperlink ref="C15" location="SASB_Standards_Content_Index" display="SASB Metrics, Location, Omissions and Sector Standard Reference" xr:uid="{F8490E42-009B-409B-AC6F-C8A20E56AAFC}"/>
    <hyperlink ref="C17" location="Reporting_Scope" display="Reporting Scope" xr:uid="{56095803-3B08-4411-B46D-766F9AED39A8}"/>
    <hyperlink ref="C18" location="Geographic_Classification" display="Geographic Classification: Definition of 'Local'" xr:uid="{EC9F9761-97BD-4C21-8BC7-E8DACD6A30F3}"/>
    <hyperlink ref="C19" location="Restatements_of_Information" display="Restatements of Information" xr:uid="{0732C9EF-2FD7-4DB9-AC59-AF80B8D8C7F8}"/>
    <hyperlink ref="C20" location="Gold_Production_FY2025" display="Gold Production FY2025" xr:uid="{39BC6265-97F6-4DB8-B780-B49BD74495A9}"/>
    <hyperlink ref="C23" location="Locations_with_Biodiversity_Impacts" display="Locations with Biodiversity Impacts by Mine Site" xr:uid="{C347CBE5-0249-4026-839E-E7F4F6C0F21D}"/>
    <hyperlink ref="C24" location="Disturbance___Rehabilitation" display="Disturbance and Rehabilitation by Mine Site" xr:uid="{0031152A-C10C-41BE-98DE-DD786D9CC314}"/>
    <hyperlink ref="C30" location="Energy_consumption_within_the_organization" display="Energy Consumption" xr:uid="{8E42AA30-703F-487E-A266-2CC66FC2C8C2}"/>
    <hyperlink ref="C31" location="Energy_intensity" display="Energy Intensity" xr:uid="{8676735E-19CC-448A-9B09-937F42324A99}"/>
    <hyperlink ref="C32" location="Scope_1_Emissions" display="Scope 1 GHG Emissions by Mine Site" xr:uid="{87AC81D7-8301-48B1-8556-FC259361CC39}"/>
    <hyperlink ref="C33" location="Scope_2_GHG_Emissions_by_Mine_Site" display="Scope 2 GHG Emissions by Mine Site" xr:uid="{E9F89551-960E-4D4F-925E-2FC62F40F2F4}"/>
    <hyperlink ref="C34" location="Reduction_of_GHG_Emissions" display="GHG Emissions Intensity by Mine Site" xr:uid="{F255F0F2-FFE4-49D1-B4E0-59C515A230C5}"/>
    <hyperlink ref="C36" location="Air_Emissions" display="Significant Air Emissions by Mine Site" xr:uid="{6FED9141-4ECB-4789-B237-8D1CA1F4F12A}"/>
    <hyperlink ref="C41" location="Operations_with_local_community_engagement__impact_assessments__and_development_programs" display="Operations with Local Community Engagement, Impact Assessments, and Development Programs" xr:uid="{BC0E4459-CD14-4080-B8AA-FA58D6418B28}"/>
    <hyperlink ref="C42" location="Grievances_from_Local_Communities" display="Grievances from Local Communities" xr:uid="{34929BA1-3154-4232-B250-6DDBEF90F29B}"/>
    <hyperlink ref="C43" location="Incidents_of_Violations_Involving_Rights_of_Indigenous_Peoples" display="Incidents of Violations Involving Rights of Indigenous Peoples" xr:uid="{49AC4CAF-1F69-45EC-A847-FD6080E23DFE}"/>
    <hyperlink ref="C44" location="Reserves_in_or_Near_Indigenous_Peoples_Territories" display="Reserves in or Near Indigenous Land" xr:uid="{CE7B9C10-AE3F-48C8-A1C7-0D3DB5606FF5}"/>
    <hyperlink ref="C45" location="Free__Prior__and_Informed_Consent__FPIC" display="Free, Prior, and Informed Consent (FPIC) " xr:uid="{91522E25-B2B1-4EF9-ACCF-9D8DB276ED3C}"/>
    <hyperlink ref="C46" location="Involuntary_Resettlement" display="Involuntary Resettlement" xr:uid="{674943CE-DEDC-41DB-9BC4-632A2B8FF5EB}"/>
    <hyperlink ref="C47" location="Conflicts_or_Violations_of_Land_and_Resource_Rights" display="Conflicts or Violations of Land and Resource Rights" xr:uid="{EE479585-0E04-4E9B-A197-CB60510E7AD7}"/>
    <hyperlink ref="C38" location="Security_Personnel_Trained_in_Human_Rights" display="Security Personnel Trained in Human Rights" xr:uid="{619665A0-EAB4-45EE-9DB7-C6BD9A27CA48}"/>
    <hyperlink ref="C39" location="Reserves_in_or_Near_Areas_of_Conflict" display="Reserves in or Near Areas of Conflict" xr:uid="{94ED96E1-B889-41DF-A27D-4D833D8C5F33}"/>
    <hyperlink ref="C48" location="Non_technical_Delays" display="Non-technical Delays" xr:uid="{EAB78CEE-09F1-4F8C-9334-9C1A76610F48}"/>
    <hyperlink ref="C37" location="Direct_Economic_Value_Generated_and_Distributed_by_Region" display="Direct Economic Value Generated and Distributed by Region" xr:uid="{D52EE8AD-C517-4709-9821-AFC2E935771A}"/>
    <hyperlink ref="C53" location="Workers_Hired_From_the_Local_Community_at_the_Mine_site_Level" display="Workers Hired From the Local Community at the Mine-site Level" xr:uid="{7AC75ED2-9827-480F-BD99-28BCA36D4640}"/>
    <hyperlink ref="C62" location="Proportion_of_Spending_on_Local_Suppliers_by_Mine_Site" display="Proportion of Spending on Local Suppliers by Mine Site" xr:uid="{0469EF2C-20C8-4F5A-8FE9-A02B6AF35BCD}"/>
    <hyperlink ref="C25" location="Communication_of_critical_concerns" display="Communication of Critical Concerns" xr:uid="{DC6B03A4-563C-4615-AFD6-A42CC03641FB}"/>
    <hyperlink ref="C26" location="Compliance_with_laws_and_regulations" display="Compliance with Laws and Regulations" xr:uid="{80F2ADD3-E941-45E0-B6F7-DF5D4ACF9A00}"/>
    <hyperlink ref="C27" location="Operations_Assessed_for_Risks_Related_to_Corruption" display="Operations Assessed for Risks Related to Corruption" xr:uid="{10088DC1-A7FF-4EAA-9B48-4AF6CEA790BF}"/>
    <hyperlink ref="C28" location="Confirmed_Incidents_of_Corruption_and_Actions_Taken" display="Confirmed Incidents of Corruption and Actions Taken" xr:uid="{ADF7ACCB-1CAB-4B74-B89E-485E64BDE07F}"/>
    <hyperlink ref="C29" location="Production_in_Countries_that_have_the_20_Lowest_Rankings_in_Transparency_International’s_Corruption_Perception_Index" display="Production in Countries that have the 20 Lowest Rankings in Transparency International’s Corruption Perception Index" xr:uid="{EC6943F1-D69D-4F41-ABDB-FD392DD38900}"/>
    <hyperlink ref="C49" location="Work_Related_Injuries" display="Work-Related Injuries" xr:uid="{49CAE4BA-C658-4DDC-A9CB-9ED2717E692C}"/>
    <hyperlink ref="C50" location="Work_Related_Ill_Health" display="Work-Related Ill Health" xr:uid="{5740DBD5-D56F-4406-A8F0-734055F60F93}"/>
    <hyperlink ref="C51" location="MSHA_all_incidence_rate__fatality_rate__near_miss_frequency_rate_and_average_hours_of_health__safety__and_emergency_response_training" display="MSHA all-incidence rate, fatality rate, near miss frequency rate and average hours of health, safety, and emergency response training" xr:uid="{0FE20304-C3CE-4108-AD6F-468F90116C29}"/>
    <hyperlink ref="C52" location="Employee_Demographics" display="Employee Demographics" xr:uid="{A9F88B4C-E9C1-4B68-9385-950E5B221867}"/>
    <hyperlink ref="C54" location="Diversity_of_Employees" display="Diversity of Employees" xr:uid="{AA396388-1DAB-499B-8BE8-BFD478A6895A}"/>
    <hyperlink ref="C55" location="New_Employee_Hires_and_Employee_Turnover" display="New Employee Hires and Employee Turnover" xr:uid="{F025EC16-56AE-481B-9F32-306D97EF4656}"/>
    <hyperlink ref="C56" location="Parental_Leave" display="Parental Leave" xr:uid="{939BA13B-16B5-4474-95CC-12EDCF8C5DD8}"/>
    <hyperlink ref="C57" location="Ratio_of_Basic_Salary_and_Remuneration_of_Women_to_Men" display="Ratio of Basic Salary and Remuneration of Women to Men" xr:uid="{527BDBF6-0371-4207-8883-2FB64FEC21A5}"/>
    <hyperlink ref="C58" location="Collective_Bargaining_Agreements" display="Collective Bargaining Agreements" xr:uid="{59E0E73E-17DE-4D96-ADB7-D1DDBF87FDCD}"/>
    <hyperlink ref="C59" location="Total_Workforce" display="Total Workforce" xr:uid="{A0C3C128-461C-456C-8F14-833248D9D438}"/>
    <hyperlink ref="C60" location="Strikes_and_Lockouts" display="Strikes and Lockouts" xr:uid="{67BDD799-FCF7-45F2-BA65-8FA80CFE10BF}"/>
    <hyperlink ref="C61" location="Incidents_of_Discrimination" display="Incidents of Discrimination" xr:uid="{3602F154-57F0-41E8-A9CD-88CB08A9C6A5}"/>
    <hyperlink ref="C40" location="Risk_of_Forced_and_Child_Labor" display="Risk of Forced and Child Labor" xr:uid="{C9581B22-50BF-4910-87F7-FF4B35D0C344}"/>
    <hyperlink ref="C63" location="ASM" display="Artisanal and Small-Scale Mining" xr:uid="{068EC0B8-9E1D-40DF-9A52-E9F926EEB3D4}"/>
    <hyperlink ref="C64" location="Waste_Generated_by_Mine_Site" display="Waste Generated by Mine Site" xr:uid="{9CBAB341-3933-4519-84B1-2F77EF0FDA7C}"/>
    <hyperlink ref="C65" location="Waste_Diverted_from_Disposal_by_Mine_Site" display="Waste Diverted from Disposal by Mine Site" xr:uid="{9D3FE733-5250-401A-BC74-E7AAA19AC532}"/>
    <hyperlink ref="C66" location="Waste_Directed_to_Disposal_by_Mine_Site" display="Waste Directed to Disposal by Mine Site" xr:uid="{C817B9FC-5D66-43DF-8A57-D2AF7B731FEB}"/>
    <hyperlink ref="C67" location="Significant_Incidents_Associated_with_Hazardous_Materials_and_Waste_Management" display="Significant incidents associated with hazardous materials and waste management" xr:uid="{6EF742B8-91AB-40E4-BE43-2913992FCFA2}"/>
    <hyperlink ref="C68" location="Critical_incident_management" display="Critical Incidents" xr:uid="{A5F478D3-F150-4405-BAA9-CDAB8C60942D}"/>
    <hyperlink ref="C69" location="Water_Withdrawal_by_Mine_Site" display="Water Withdrawal" xr:uid="{189C6A09-D7FA-4498-8852-9972EEE2E526}"/>
    <hyperlink ref="C70" location="Water_Discharge_by_Mine_Site" display="Water Discharge" xr:uid="{E9C84972-1ED9-4010-BF02-CC757493D3ED}"/>
    <hyperlink ref="C71" location="Acid_Rock_Drainage" display="Percentage of mine sites where acid rock drainage is: (1) predicted to occur, (2) actively mitigated, and (3) under treatment or remediation" xr:uid="{9A408041-BEFF-4CDE-BE81-74FFE9E160D4}"/>
    <hyperlink ref="C72" location="Number_of_incidents_of_non_compliance_associated_with_water_quality_permits__standards_and_regulations" display="Number of incidents of non-compliance associated with water quality permits, standards and regulations" xr:uid="{89BA3401-14F2-4C62-AED0-38660D0D756F}"/>
    <hyperlink ref="C21" location="Acronyms" display="Acronyms" xr:uid="{BB1E156C-230F-4F2B-B553-9038F1FCFF65}"/>
    <hyperlink ref="C22" location="Terms_and_Definitions" display="Terms and Definitions" xr:uid="{8CFEF0AD-E49B-42AA-8837-038942AEBC64}"/>
    <hyperlink ref="C73" location="Tailings_Storage_Facilities_Inventory_Table" display="Tailings Storage Facilities Inventory Table" xr:uid="{51B4B511-60D1-4873-AFF3-66C37BBC64D6}"/>
    <hyperlink ref="C74" location="Heap_Leach_Facilities_Inventory_Table" display="Heap Leach Facilities Inventory Table" xr:uid="{0071CF17-5CEA-419A-A2FA-0FC64716AA46}"/>
    <hyperlink ref="B4" r:id="rId1" xr:uid="{7A1A969A-CF5D-4979-B348-D59C0644D43D}"/>
    <hyperlink ref="C16" location="'Performance Summary'!A1" display="2025 Sustainability Performance Summary" xr:uid="{F52EA7F7-4097-4E68-A7AE-DD11DC2C5144}"/>
  </hyperlinks>
  <pageMargins left="0.7" right="0.7" top="0.75" bottom="0.75" header="0.3" footer="0.3"/>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78135-A0D6-4224-AB78-F53B009A1FA9}">
  <dimension ref="A2:M39"/>
  <sheetViews>
    <sheetView showGridLines="0" zoomScale="80" zoomScaleNormal="80" workbookViewId="0">
      <selection activeCell="L36" sqref="L36"/>
    </sheetView>
  </sheetViews>
  <sheetFormatPr defaultColWidth="8.88671875" defaultRowHeight="14.4"/>
  <cols>
    <col min="1" max="1" width="3.88671875" customWidth="1"/>
    <col min="2" max="2" width="97.33203125" customWidth="1"/>
    <col min="3" max="15" width="25.6640625" customWidth="1"/>
    <col min="17" max="17" width="9.109375" customWidth="1"/>
  </cols>
  <sheetData>
    <row r="2" spans="1:13" ht="21">
      <c r="A2" s="19"/>
      <c r="B2" s="564" t="s">
        <v>1413</v>
      </c>
      <c r="C2" s="564"/>
      <c r="D2" s="564"/>
      <c r="E2" s="564"/>
      <c r="F2" s="564"/>
      <c r="G2" s="564"/>
      <c r="H2" s="564"/>
      <c r="I2" s="107"/>
    </row>
    <row r="3" spans="1:13">
      <c r="A3" s="287"/>
      <c r="B3" s="638" t="s">
        <v>1238</v>
      </c>
      <c r="C3" s="638"/>
      <c r="D3" s="638"/>
      <c r="E3" s="638"/>
      <c r="F3" s="638"/>
      <c r="G3" s="638"/>
      <c r="H3" s="638"/>
      <c r="I3" s="638"/>
      <c r="J3" s="638"/>
      <c r="K3" s="638"/>
      <c r="L3" s="638"/>
      <c r="M3" s="63"/>
    </row>
    <row r="5" spans="1:13" ht="18">
      <c r="B5" s="19" t="s">
        <v>1239</v>
      </c>
      <c r="C5" s="17"/>
      <c r="D5" s="17"/>
      <c r="E5" s="17"/>
    </row>
    <row r="6" spans="1:13" s="18" customFormat="1">
      <c r="A6" s="13"/>
      <c r="B6" s="568" t="s">
        <v>1414</v>
      </c>
      <c r="C6" s="568"/>
      <c r="D6" s="568"/>
      <c r="E6" s="568"/>
      <c r="F6" s="568"/>
      <c r="G6" s="568"/>
      <c r="H6" s="568"/>
      <c r="I6" s="568"/>
      <c r="J6" s="568"/>
      <c r="K6" s="568"/>
    </row>
    <row r="7" spans="1:13" s="37" customFormat="1" ht="13.8">
      <c r="B7" s="458" t="s">
        <v>1415</v>
      </c>
    </row>
    <row r="9" spans="1:13">
      <c r="B9" s="19" t="s">
        <v>1416</v>
      </c>
    </row>
    <row r="10" spans="1:13" s="18" customFormat="1">
      <c r="A10" s="13"/>
      <c r="B10" s="201" t="s">
        <v>1417</v>
      </c>
    </row>
    <row r="12" spans="1:13">
      <c r="B12" s="300" t="s">
        <v>1418</v>
      </c>
      <c r="C12" s="301" t="s">
        <v>744</v>
      </c>
      <c r="D12" s="301" t="s">
        <v>747</v>
      </c>
      <c r="E12" s="301" t="s">
        <v>750</v>
      </c>
      <c r="F12" s="301" t="s">
        <v>703</v>
      </c>
      <c r="G12" s="301" t="s">
        <v>755</v>
      </c>
      <c r="H12" s="301" t="s">
        <v>758</v>
      </c>
      <c r="I12" s="301" t="s">
        <v>761</v>
      </c>
      <c r="J12" s="301" t="s">
        <v>765</v>
      </c>
      <c r="K12" s="301" t="s">
        <v>768</v>
      </c>
      <c r="L12" s="301" t="s">
        <v>770</v>
      </c>
    </row>
    <row r="13" spans="1:13">
      <c r="B13" s="302" t="s">
        <v>1419</v>
      </c>
      <c r="C13" s="303"/>
      <c r="D13" s="303"/>
      <c r="E13" s="303"/>
      <c r="F13" s="303"/>
      <c r="G13" s="303"/>
      <c r="H13" s="303"/>
      <c r="I13" s="303"/>
      <c r="J13" s="303"/>
      <c r="K13" s="303"/>
      <c r="L13" s="303"/>
    </row>
    <row r="14" spans="1:13" ht="27.6">
      <c r="B14" s="304" t="s">
        <v>1420</v>
      </c>
      <c r="C14" s="492" t="s">
        <v>1259</v>
      </c>
      <c r="D14" s="492" t="s">
        <v>1259</v>
      </c>
      <c r="E14" s="492" t="s">
        <v>1259</v>
      </c>
      <c r="F14" s="492" t="s">
        <v>1259</v>
      </c>
      <c r="G14" s="492" t="s">
        <v>1259</v>
      </c>
      <c r="H14" s="492" t="s">
        <v>1259</v>
      </c>
      <c r="I14" s="492" t="s">
        <v>1259</v>
      </c>
      <c r="J14" s="492" t="s">
        <v>1259</v>
      </c>
      <c r="K14" s="492" t="s">
        <v>1259</v>
      </c>
      <c r="L14" s="492" t="s">
        <v>1259</v>
      </c>
    </row>
    <row r="15" spans="1:13" ht="27.6">
      <c r="B15" s="304" t="s">
        <v>1421</v>
      </c>
      <c r="C15" s="492" t="s">
        <v>1259</v>
      </c>
      <c r="D15" s="492" t="s">
        <v>1259</v>
      </c>
      <c r="E15" s="492" t="s">
        <v>1259</v>
      </c>
      <c r="F15" s="492" t="s">
        <v>1259</v>
      </c>
      <c r="G15" s="492" t="s">
        <v>1259</v>
      </c>
      <c r="H15" s="492" t="s">
        <v>1259</v>
      </c>
      <c r="I15" s="492" t="s">
        <v>1258</v>
      </c>
      <c r="J15" s="492" t="s">
        <v>1259</v>
      </c>
      <c r="K15" s="492" t="s">
        <v>1259</v>
      </c>
      <c r="L15" s="492" t="s">
        <v>1259</v>
      </c>
    </row>
    <row r="16" spans="1:13">
      <c r="B16" s="304" t="s">
        <v>1422</v>
      </c>
      <c r="C16" s="492" t="s">
        <v>875</v>
      </c>
      <c r="D16" s="492" t="s">
        <v>875</v>
      </c>
      <c r="E16" s="492" t="s">
        <v>875</v>
      </c>
      <c r="F16" s="492" t="s">
        <v>875</v>
      </c>
      <c r="G16" s="492" t="s">
        <v>875</v>
      </c>
      <c r="H16" s="492" t="s">
        <v>875</v>
      </c>
      <c r="I16" s="492" t="s">
        <v>1423</v>
      </c>
      <c r="J16" s="492" t="s">
        <v>875</v>
      </c>
      <c r="K16" s="492" t="s">
        <v>875</v>
      </c>
      <c r="L16" s="492" t="s">
        <v>875</v>
      </c>
    </row>
    <row r="17" spans="1:12">
      <c r="B17" s="302" t="s">
        <v>1424</v>
      </c>
      <c r="C17" s="492"/>
      <c r="D17" s="492"/>
      <c r="E17" s="492"/>
      <c r="F17" s="492"/>
      <c r="G17" s="492"/>
      <c r="H17" s="492"/>
      <c r="I17" s="492"/>
      <c r="J17" s="492"/>
      <c r="K17" s="492"/>
      <c r="L17" s="492"/>
    </row>
    <row r="18" spans="1:12">
      <c r="B18" s="304" t="s">
        <v>1425</v>
      </c>
      <c r="C18" s="492" t="s">
        <v>1259</v>
      </c>
      <c r="D18" s="492" t="s">
        <v>1259</v>
      </c>
      <c r="E18" s="492" t="s">
        <v>1259</v>
      </c>
      <c r="F18" s="492" t="s">
        <v>1259</v>
      </c>
      <c r="G18" s="492" t="s">
        <v>1259</v>
      </c>
      <c r="H18" s="492" t="s">
        <v>1259</v>
      </c>
      <c r="I18" s="492" t="s">
        <v>1259</v>
      </c>
      <c r="J18" s="492" t="s">
        <v>1259</v>
      </c>
      <c r="K18" s="492" t="s">
        <v>1259</v>
      </c>
      <c r="L18" s="492" t="s">
        <v>1259</v>
      </c>
    </row>
    <row r="19" spans="1:12">
      <c r="B19" s="304" t="s">
        <v>1426</v>
      </c>
      <c r="C19" s="492" t="s">
        <v>1259</v>
      </c>
      <c r="D19" s="492" t="s">
        <v>1259</v>
      </c>
      <c r="E19" s="492" t="s">
        <v>1259</v>
      </c>
      <c r="F19" s="492" t="s">
        <v>1259</v>
      </c>
      <c r="G19" s="492" t="s">
        <v>1259</v>
      </c>
      <c r="H19" s="492" t="s">
        <v>1259</v>
      </c>
      <c r="I19" s="492" t="s">
        <v>1259</v>
      </c>
      <c r="J19" s="492" t="s">
        <v>1259</v>
      </c>
      <c r="K19" s="492" t="s">
        <v>1259</v>
      </c>
      <c r="L19" s="492" t="s">
        <v>1259</v>
      </c>
    </row>
    <row r="20" spans="1:12">
      <c r="B20" s="304" t="s">
        <v>1422</v>
      </c>
      <c r="C20" s="492" t="s">
        <v>875</v>
      </c>
      <c r="D20" s="492" t="s">
        <v>875</v>
      </c>
      <c r="E20" s="492" t="s">
        <v>875</v>
      </c>
      <c r="F20" s="492" t="s">
        <v>875</v>
      </c>
      <c r="G20" s="492" t="s">
        <v>875</v>
      </c>
      <c r="H20" s="492" t="s">
        <v>875</v>
      </c>
      <c r="I20" s="492" t="s">
        <v>875</v>
      </c>
      <c r="J20" s="492" t="s">
        <v>875</v>
      </c>
      <c r="K20" s="492" t="s">
        <v>875</v>
      </c>
      <c r="L20" s="492" t="s">
        <v>875</v>
      </c>
    </row>
    <row r="21" spans="1:12">
      <c r="B21" s="304" t="s">
        <v>1427</v>
      </c>
      <c r="C21" s="492" t="s">
        <v>875</v>
      </c>
      <c r="D21" s="492" t="s">
        <v>875</v>
      </c>
      <c r="E21" s="492" t="s">
        <v>875</v>
      </c>
      <c r="F21" s="492" t="s">
        <v>875</v>
      </c>
      <c r="G21" s="492" t="s">
        <v>875</v>
      </c>
      <c r="H21" s="492" t="s">
        <v>875</v>
      </c>
      <c r="I21" s="492" t="s">
        <v>875</v>
      </c>
      <c r="J21" s="492" t="s">
        <v>875</v>
      </c>
      <c r="K21" s="492" t="s">
        <v>875</v>
      </c>
      <c r="L21" s="492" t="s">
        <v>875</v>
      </c>
    </row>
    <row r="23" spans="1:12">
      <c r="B23" s="19" t="s">
        <v>1428</v>
      </c>
    </row>
    <row r="24" spans="1:12" s="18" customFormat="1">
      <c r="A24" s="13"/>
      <c r="B24" s="201" t="s">
        <v>1429</v>
      </c>
    </row>
    <row r="26" spans="1:12">
      <c r="B26" s="216" t="s">
        <v>1430</v>
      </c>
      <c r="C26" s="228" t="s">
        <v>755</v>
      </c>
      <c r="D26" s="228" t="s">
        <v>714</v>
      </c>
      <c r="E26" s="228" t="s">
        <v>758</v>
      </c>
      <c r="F26" s="228" t="s">
        <v>761</v>
      </c>
      <c r="G26" s="305" t="s">
        <v>835</v>
      </c>
    </row>
    <row r="27" spans="1:12">
      <c r="B27" s="299" t="s">
        <v>1431</v>
      </c>
      <c r="C27" s="493">
        <v>105</v>
      </c>
      <c r="D27" s="493">
        <v>10</v>
      </c>
      <c r="E27" s="493">
        <v>136</v>
      </c>
      <c r="F27" s="493">
        <v>155</v>
      </c>
      <c r="G27" s="493">
        <f>SUM(Table3121[[#This Row],[Los Filos]:[La Libertad]])</f>
        <v>406</v>
      </c>
    </row>
    <row r="28" spans="1:12">
      <c r="B28" s="261" t="s">
        <v>1432</v>
      </c>
      <c r="C28" s="493">
        <v>105</v>
      </c>
      <c r="D28" s="493">
        <v>0</v>
      </c>
      <c r="E28" s="493">
        <v>90</v>
      </c>
      <c r="F28" s="493">
        <v>146</v>
      </c>
      <c r="G28" s="493">
        <f>SUM(Table3121[[#This Row],[Los Filos]:[La Libertad]])</f>
        <v>341</v>
      </c>
    </row>
    <row r="29" spans="1:12">
      <c r="B29" s="306" t="s">
        <v>1433</v>
      </c>
      <c r="C29" s="294">
        <f>C28/C27</f>
        <v>1</v>
      </c>
      <c r="D29" s="294">
        <f t="shared" ref="D29:G29" si="0">D28/D27</f>
        <v>0</v>
      </c>
      <c r="E29" s="294">
        <f t="shared" si="0"/>
        <v>0.66176470588235292</v>
      </c>
      <c r="F29" s="294">
        <f t="shared" si="0"/>
        <v>0.9419354838709677</v>
      </c>
      <c r="G29" s="294">
        <f t="shared" si="0"/>
        <v>0.83990147783251234</v>
      </c>
      <c r="I29" s="4"/>
    </row>
    <row r="31" spans="1:12">
      <c r="B31" s="19" t="s">
        <v>68</v>
      </c>
    </row>
    <row r="32" spans="1:12" s="18" customFormat="1">
      <c r="A32" s="13"/>
      <c r="B32" s="201" t="s">
        <v>1434</v>
      </c>
    </row>
    <row r="34" spans="2:13">
      <c r="B34" s="295" t="s">
        <v>1435</v>
      </c>
      <c r="C34" s="262" t="s">
        <v>744</v>
      </c>
      <c r="D34" s="262" t="s">
        <v>747</v>
      </c>
      <c r="E34" s="262" t="s">
        <v>750</v>
      </c>
      <c r="F34" s="262" t="s">
        <v>703</v>
      </c>
      <c r="G34" s="262" t="s">
        <v>1436</v>
      </c>
      <c r="H34" s="262" t="s">
        <v>758</v>
      </c>
      <c r="I34" s="262" t="s">
        <v>761</v>
      </c>
      <c r="J34" s="262" t="s">
        <v>765</v>
      </c>
      <c r="K34" s="262" t="s">
        <v>768</v>
      </c>
      <c r="L34" s="262" t="s">
        <v>770</v>
      </c>
      <c r="M34" s="216" t="s">
        <v>835</v>
      </c>
    </row>
    <row r="35" spans="2:13">
      <c r="B35" s="297" t="s">
        <v>1437</v>
      </c>
      <c r="C35" s="494">
        <v>0</v>
      </c>
      <c r="D35" s="494">
        <v>0</v>
      </c>
      <c r="E35" s="494">
        <v>0</v>
      </c>
      <c r="F35" s="494">
        <v>0</v>
      </c>
      <c r="G35" s="494">
        <v>1</v>
      </c>
      <c r="H35" s="494">
        <v>1</v>
      </c>
      <c r="I35" s="494">
        <v>1</v>
      </c>
      <c r="J35" s="494">
        <v>0</v>
      </c>
      <c r="K35" s="494">
        <v>0</v>
      </c>
      <c r="L35" s="494">
        <v>0</v>
      </c>
      <c r="M35" s="494">
        <v>0.13</v>
      </c>
    </row>
    <row r="36" spans="2:13">
      <c r="B36" s="297" t="s">
        <v>1438</v>
      </c>
      <c r="C36" s="494">
        <v>0</v>
      </c>
      <c r="D36" s="494">
        <v>0</v>
      </c>
      <c r="E36" s="494">
        <v>0</v>
      </c>
      <c r="F36" s="494">
        <v>0</v>
      </c>
      <c r="G36" s="494">
        <v>1</v>
      </c>
      <c r="H36" s="494">
        <v>1</v>
      </c>
      <c r="I36" s="494">
        <v>1</v>
      </c>
      <c r="J36" s="494">
        <v>0</v>
      </c>
      <c r="K36" s="494">
        <v>0</v>
      </c>
      <c r="L36" s="494">
        <v>0</v>
      </c>
      <c r="M36" s="494">
        <v>0.13</v>
      </c>
    </row>
    <row r="37" spans="2:13" ht="57.75" customHeight="1">
      <c r="B37" s="602" t="s">
        <v>1439</v>
      </c>
      <c r="C37" s="602"/>
      <c r="D37" s="602"/>
      <c r="E37" s="602"/>
      <c r="F37" s="602"/>
      <c r="G37" s="602"/>
      <c r="H37" s="602"/>
      <c r="I37" s="602"/>
      <c r="J37" s="602"/>
      <c r="K37" s="602"/>
      <c r="L37" s="602"/>
      <c r="M37" s="602"/>
    </row>
    <row r="39" spans="2:13" ht="23.4">
      <c r="B39" s="113"/>
    </row>
  </sheetData>
  <mergeCells count="4">
    <mergeCell ref="B37:M37"/>
    <mergeCell ref="B2:H2"/>
    <mergeCell ref="B6:K6"/>
    <mergeCell ref="B3:L3"/>
  </mergeCells>
  <hyperlinks>
    <hyperlink ref="B7" r:id="rId1" xr:uid="{706A40A0-0454-4769-9386-ADA92A494D09}"/>
  </hyperlinks>
  <pageMargins left="0.7" right="0.7" top="0.75" bottom="0.75" header="0.3" footer="0.3"/>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4976D-949A-4241-833E-5DFE9AFDE16F}">
  <dimension ref="A2:M94"/>
  <sheetViews>
    <sheetView showGridLines="0" topLeftCell="B1" zoomScale="80" zoomScaleNormal="80" workbookViewId="0">
      <selection activeCell="B48" sqref="B48:L48"/>
    </sheetView>
  </sheetViews>
  <sheetFormatPr defaultColWidth="8.88671875" defaultRowHeight="14.4"/>
  <cols>
    <col min="1" max="1" width="4" customWidth="1"/>
    <col min="2" max="2" width="97.33203125" customWidth="1"/>
    <col min="3" max="13" width="25.6640625" customWidth="1"/>
    <col min="14" max="14" width="24.109375" bestFit="1" customWidth="1"/>
    <col min="15" max="15" width="12" bestFit="1" customWidth="1"/>
    <col min="17" max="17" width="9.109375" customWidth="1"/>
  </cols>
  <sheetData>
    <row r="2" spans="1:13" ht="21">
      <c r="A2" s="19"/>
      <c r="B2" s="564" t="s">
        <v>1440</v>
      </c>
      <c r="C2" s="564"/>
      <c r="D2" s="564"/>
      <c r="E2" s="564"/>
      <c r="F2" s="564"/>
      <c r="G2" s="564"/>
      <c r="H2" s="564"/>
      <c r="I2" s="107"/>
    </row>
    <row r="3" spans="1:13">
      <c r="A3" s="287"/>
      <c r="B3" s="638" t="s">
        <v>1238</v>
      </c>
      <c r="C3" s="638"/>
      <c r="D3" s="638"/>
      <c r="E3" s="638"/>
      <c r="F3" s="638"/>
      <c r="G3" s="638"/>
      <c r="H3" s="638"/>
      <c r="I3" s="638"/>
      <c r="J3" s="638"/>
      <c r="K3" s="638"/>
      <c r="L3" s="638"/>
      <c r="M3" s="63"/>
    </row>
    <row r="5" spans="1:13" ht="18">
      <c r="B5" s="19" t="s">
        <v>1239</v>
      </c>
      <c r="C5" s="17"/>
      <c r="D5" s="17"/>
      <c r="E5" s="17"/>
    </row>
    <row r="6" spans="1:13" s="18" customFormat="1">
      <c r="A6" s="13"/>
      <c r="B6" s="568" t="s">
        <v>1441</v>
      </c>
      <c r="C6" s="568"/>
      <c r="D6" s="568"/>
      <c r="E6" s="568"/>
      <c r="F6" s="568"/>
      <c r="G6" s="568"/>
      <c r="H6" s="568"/>
      <c r="I6" s="568"/>
      <c r="J6" s="568"/>
      <c r="K6" s="568"/>
    </row>
    <row r="7" spans="1:13" s="37" customFormat="1" ht="13.8">
      <c r="B7" s="458" t="s">
        <v>1396</v>
      </c>
    </row>
    <row r="9" spans="1:13">
      <c r="B9" s="19" t="s">
        <v>1442</v>
      </c>
    </row>
    <row r="10" spans="1:13" s="18" customFormat="1">
      <c r="A10" s="13"/>
      <c r="B10" s="201" t="s">
        <v>1443</v>
      </c>
    </row>
    <row r="12" spans="1:13" s="43" customFormat="1" ht="33" customHeight="1">
      <c r="B12" s="101" t="s">
        <v>1444</v>
      </c>
      <c r="C12" s="203" t="s">
        <v>744</v>
      </c>
      <c r="D12" s="203" t="s">
        <v>747</v>
      </c>
      <c r="E12" s="203" t="s">
        <v>750</v>
      </c>
      <c r="F12" s="203" t="s">
        <v>703</v>
      </c>
      <c r="G12" s="203" t="s">
        <v>755</v>
      </c>
      <c r="H12" s="203" t="s">
        <v>758</v>
      </c>
      <c r="I12" s="203" t="s">
        <v>761</v>
      </c>
      <c r="J12" s="203" t="s">
        <v>765</v>
      </c>
      <c r="K12" s="203" t="s">
        <v>768</v>
      </c>
      <c r="L12" s="203" t="s">
        <v>770</v>
      </c>
      <c r="M12" s="203" t="s">
        <v>1445</v>
      </c>
    </row>
    <row r="13" spans="1:13" ht="40.5" customHeight="1">
      <c r="B13" s="102" t="s">
        <v>1446</v>
      </c>
      <c r="C13" s="288" t="s">
        <v>1258</v>
      </c>
      <c r="D13" s="288" t="s">
        <v>1258</v>
      </c>
      <c r="E13" s="288" t="s">
        <v>1258</v>
      </c>
      <c r="F13" s="288" t="s">
        <v>1258</v>
      </c>
      <c r="G13" s="288" t="s">
        <v>1258</v>
      </c>
      <c r="H13" s="288" t="s">
        <v>1258</v>
      </c>
      <c r="I13" s="288" t="s">
        <v>1258</v>
      </c>
      <c r="J13" s="104" t="s">
        <v>1258</v>
      </c>
      <c r="K13" s="104" t="s">
        <v>1258</v>
      </c>
      <c r="L13" s="104" t="s">
        <v>1258</v>
      </c>
      <c r="M13" s="288">
        <v>1</v>
      </c>
    </row>
    <row r="14" spans="1:13">
      <c r="B14" s="102" t="s">
        <v>1447</v>
      </c>
      <c r="C14" s="288" t="s">
        <v>1258</v>
      </c>
      <c r="D14" s="288" t="s">
        <v>1258</v>
      </c>
      <c r="E14" s="288" t="s">
        <v>1258</v>
      </c>
      <c r="F14" s="288" t="s">
        <v>1258</v>
      </c>
      <c r="G14" s="288" t="s">
        <v>1258</v>
      </c>
      <c r="H14" s="288" t="s">
        <v>1258</v>
      </c>
      <c r="I14" s="288" t="s">
        <v>1258</v>
      </c>
      <c r="J14" s="104" t="s">
        <v>1258</v>
      </c>
      <c r="K14" s="104" t="s">
        <v>1258</v>
      </c>
      <c r="L14" s="104" t="s">
        <v>1258</v>
      </c>
      <c r="M14" s="288">
        <v>1</v>
      </c>
    </row>
    <row r="15" spans="1:13">
      <c r="B15" s="286" t="s">
        <v>1448</v>
      </c>
      <c r="C15" s="289" t="s">
        <v>1258</v>
      </c>
      <c r="D15" s="289" t="s">
        <v>1258</v>
      </c>
      <c r="E15" s="289" t="s">
        <v>1258</v>
      </c>
      <c r="F15" s="289" t="s">
        <v>1258</v>
      </c>
      <c r="G15" s="289" t="s">
        <v>1258</v>
      </c>
      <c r="H15" s="289" t="s">
        <v>1258</v>
      </c>
      <c r="I15" s="289" t="s">
        <v>1258</v>
      </c>
      <c r="J15" s="290" t="s">
        <v>1258</v>
      </c>
      <c r="K15" s="290" t="s">
        <v>1258</v>
      </c>
      <c r="L15" s="290" t="s">
        <v>1258</v>
      </c>
      <c r="M15" s="288">
        <v>1</v>
      </c>
    </row>
    <row r="16" spans="1:13">
      <c r="B16" s="102" t="s">
        <v>1449</v>
      </c>
      <c r="C16" s="289" t="s">
        <v>1258</v>
      </c>
      <c r="D16" s="289" t="s">
        <v>1258</v>
      </c>
      <c r="E16" s="289" t="s">
        <v>1258</v>
      </c>
      <c r="F16" s="289" t="s">
        <v>1258</v>
      </c>
      <c r="G16" s="289" t="s">
        <v>1258</v>
      </c>
      <c r="H16" s="289" t="s">
        <v>1258</v>
      </c>
      <c r="I16" s="289" t="s">
        <v>1258</v>
      </c>
      <c r="J16" s="290" t="s">
        <v>1258</v>
      </c>
      <c r="K16" s="290" t="s">
        <v>1258</v>
      </c>
      <c r="L16" s="290" t="s">
        <v>1258</v>
      </c>
      <c r="M16" s="288">
        <v>1</v>
      </c>
    </row>
    <row r="17" spans="1:13" ht="17.100000000000001" customHeight="1">
      <c r="B17" s="129" t="s">
        <v>1450</v>
      </c>
      <c r="C17" s="106" t="s">
        <v>1258</v>
      </c>
      <c r="D17" s="104" t="s">
        <v>1258</v>
      </c>
      <c r="E17" s="104" t="s">
        <v>1259</v>
      </c>
      <c r="F17" s="104" t="s">
        <v>1259</v>
      </c>
      <c r="G17" s="104" t="s">
        <v>1258</v>
      </c>
      <c r="H17" s="104" t="s">
        <v>1258</v>
      </c>
      <c r="I17" s="288" t="s">
        <v>1451</v>
      </c>
      <c r="J17" s="104" t="s">
        <v>1259</v>
      </c>
      <c r="K17" s="104" t="s">
        <v>1259</v>
      </c>
      <c r="L17" s="104" t="s">
        <v>1259</v>
      </c>
      <c r="M17" s="288">
        <f>5/10</f>
        <v>0.5</v>
      </c>
    </row>
    <row r="18" spans="1:13">
      <c r="B18" s="291" t="s">
        <v>1452</v>
      </c>
      <c r="C18" s="444">
        <v>4</v>
      </c>
      <c r="D18" s="444">
        <v>7</v>
      </c>
      <c r="E18" s="444">
        <v>0</v>
      </c>
      <c r="F18" s="444">
        <v>0</v>
      </c>
      <c r="G18" s="444">
        <v>4</v>
      </c>
      <c r="H18" s="444">
        <v>2</v>
      </c>
      <c r="I18" s="444">
        <v>7</v>
      </c>
      <c r="J18" s="444">
        <v>0</v>
      </c>
      <c r="K18" s="444">
        <v>0</v>
      </c>
      <c r="L18" s="444">
        <v>0</v>
      </c>
      <c r="M18" s="104">
        <f>SUM(Table29[[#This Row],[Greenstone]:[RDM]])</f>
        <v>24</v>
      </c>
    </row>
    <row r="19" spans="1:13">
      <c r="B19" s="102" t="s">
        <v>1453</v>
      </c>
      <c r="C19" s="289" t="s">
        <v>1258</v>
      </c>
      <c r="D19" s="289" t="s">
        <v>1258</v>
      </c>
      <c r="E19" s="289" t="s">
        <v>1258</v>
      </c>
      <c r="F19" s="289" t="s">
        <v>1258</v>
      </c>
      <c r="G19" s="289" t="s">
        <v>1258</v>
      </c>
      <c r="H19" s="289" t="s">
        <v>1258</v>
      </c>
      <c r="I19" s="289" t="s">
        <v>1258</v>
      </c>
      <c r="J19" s="289" t="s">
        <v>1258</v>
      </c>
      <c r="K19" s="289" t="s">
        <v>1258</v>
      </c>
      <c r="L19" s="289" t="s">
        <v>1258</v>
      </c>
      <c r="M19" s="288">
        <v>1</v>
      </c>
    </row>
    <row r="20" spans="1:13" ht="27.6">
      <c r="B20" s="102" t="s">
        <v>1454</v>
      </c>
      <c r="C20" s="289" t="s">
        <v>1258</v>
      </c>
      <c r="D20" s="289" t="s">
        <v>1258</v>
      </c>
      <c r="E20" s="288" t="s">
        <v>1455</v>
      </c>
      <c r="F20" s="289" t="s">
        <v>1259</v>
      </c>
      <c r="G20" s="289" t="s">
        <v>1258</v>
      </c>
      <c r="H20" s="289" t="s">
        <v>1258</v>
      </c>
      <c r="I20" s="289" t="s">
        <v>1258</v>
      </c>
      <c r="J20" s="289" t="s">
        <v>1258</v>
      </c>
      <c r="K20" s="289" t="s">
        <v>1258</v>
      </c>
      <c r="L20" s="289" t="s">
        <v>1258</v>
      </c>
      <c r="M20" s="288">
        <v>0.8</v>
      </c>
    </row>
    <row r="21" spans="1:13" ht="27.6">
      <c r="B21" s="102" t="s">
        <v>1456</v>
      </c>
      <c r="C21" s="289" t="s">
        <v>1258</v>
      </c>
      <c r="D21" s="289" t="s">
        <v>1259</v>
      </c>
      <c r="E21" s="289" t="s">
        <v>1259</v>
      </c>
      <c r="F21" s="289" t="s">
        <v>1259</v>
      </c>
      <c r="G21" s="289" t="s">
        <v>1258</v>
      </c>
      <c r="H21" s="289" t="s">
        <v>1258</v>
      </c>
      <c r="I21" s="289" t="s">
        <v>1258</v>
      </c>
      <c r="J21" s="289" t="s">
        <v>1258</v>
      </c>
      <c r="K21" s="289" t="s">
        <v>1258</v>
      </c>
      <c r="L21" s="289" t="s">
        <v>1258</v>
      </c>
      <c r="M21" s="288">
        <v>0.7</v>
      </c>
    </row>
    <row r="22" spans="1:13">
      <c r="B22" s="102" t="s">
        <v>1457</v>
      </c>
      <c r="C22" s="288" t="s">
        <v>1258</v>
      </c>
      <c r="D22" s="288" t="s">
        <v>1258</v>
      </c>
      <c r="E22" s="288" t="s">
        <v>1258</v>
      </c>
      <c r="F22" s="288" t="s">
        <v>1258</v>
      </c>
      <c r="G22" s="288" t="s">
        <v>1258</v>
      </c>
      <c r="H22" s="288" t="s">
        <v>1258</v>
      </c>
      <c r="I22" s="288" t="s">
        <v>1258</v>
      </c>
      <c r="J22" s="288" t="s">
        <v>1258</v>
      </c>
      <c r="K22" s="288" t="s">
        <v>1258</v>
      </c>
      <c r="L22" s="288" t="s">
        <v>1258</v>
      </c>
      <c r="M22" s="288">
        <v>1</v>
      </c>
    </row>
    <row r="23" spans="1:13" ht="22.5" customHeight="1">
      <c r="B23" s="566" t="s">
        <v>1458</v>
      </c>
      <c r="C23" s="566"/>
      <c r="D23" s="566"/>
      <c r="E23" s="566"/>
      <c r="F23" s="566"/>
      <c r="G23" s="566"/>
      <c r="H23" s="566"/>
      <c r="I23" s="566"/>
      <c r="J23" s="566"/>
      <c r="K23" s="566"/>
      <c r="L23" s="566"/>
      <c r="M23" s="566"/>
    </row>
    <row r="25" spans="1:13">
      <c r="B25" s="19" t="s">
        <v>75</v>
      </c>
    </row>
    <row r="26" spans="1:13" s="18" customFormat="1">
      <c r="A26" s="13"/>
      <c r="B26" s="201" t="s">
        <v>1459</v>
      </c>
    </row>
    <row r="28" spans="1:13">
      <c r="B28" s="216" t="s">
        <v>1460</v>
      </c>
      <c r="C28" s="228" t="s">
        <v>744</v>
      </c>
      <c r="D28" s="228" t="s">
        <v>747</v>
      </c>
      <c r="E28" s="228" t="s">
        <v>750</v>
      </c>
      <c r="F28" s="228" t="s">
        <v>703</v>
      </c>
      <c r="G28" s="228" t="s">
        <v>755</v>
      </c>
      <c r="H28" s="228" t="s">
        <v>758</v>
      </c>
      <c r="I28" s="228" t="s">
        <v>761</v>
      </c>
      <c r="J28" s="228" t="s">
        <v>765</v>
      </c>
      <c r="K28" s="228" t="s">
        <v>768</v>
      </c>
      <c r="L28" s="228" t="s">
        <v>770</v>
      </c>
      <c r="M28" s="228" t="s">
        <v>835</v>
      </c>
    </row>
    <row r="29" spans="1:13">
      <c r="B29" s="38" t="s">
        <v>1461</v>
      </c>
      <c r="C29" s="293">
        <v>16</v>
      </c>
      <c r="D29" s="293">
        <v>6</v>
      </c>
      <c r="E29" s="293">
        <v>0</v>
      </c>
      <c r="F29" s="293">
        <v>0</v>
      </c>
      <c r="G29" s="293">
        <v>31</v>
      </c>
      <c r="H29" s="293">
        <v>51</v>
      </c>
      <c r="I29" s="293">
        <v>109</v>
      </c>
      <c r="J29" s="293">
        <v>11</v>
      </c>
      <c r="K29" s="293">
        <v>27</v>
      </c>
      <c r="L29" s="293">
        <v>8</v>
      </c>
      <c r="M29" s="293">
        <f>SUM(Table27[[#This Row],[Greenstone]:[RDM]])</f>
        <v>259</v>
      </c>
    </row>
    <row r="30" spans="1:13">
      <c r="B30" s="292" t="s">
        <v>1462</v>
      </c>
      <c r="C30" s="293">
        <v>11</v>
      </c>
      <c r="D30" s="293">
        <v>0</v>
      </c>
      <c r="E30" s="293">
        <v>0</v>
      </c>
      <c r="F30" s="293">
        <v>0</v>
      </c>
      <c r="G30" s="293">
        <v>7</v>
      </c>
      <c r="H30" s="293">
        <v>45</v>
      </c>
      <c r="I30" s="293">
        <v>102</v>
      </c>
      <c r="J30" s="293">
        <v>5</v>
      </c>
      <c r="K30" s="293">
        <v>3</v>
      </c>
      <c r="L30" s="293">
        <v>0</v>
      </c>
      <c r="M30" s="293">
        <f>SUM(Table27[[#This Row],[Greenstone]:[RDM]])</f>
        <v>173</v>
      </c>
    </row>
    <row r="31" spans="1:13">
      <c r="B31" s="292" t="s">
        <v>1463</v>
      </c>
      <c r="C31" s="293">
        <v>2</v>
      </c>
      <c r="D31" s="293">
        <v>4</v>
      </c>
      <c r="E31" s="293">
        <v>0</v>
      </c>
      <c r="F31" s="293">
        <v>0</v>
      </c>
      <c r="G31" s="293">
        <v>0</v>
      </c>
      <c r="H31" s="293">
        <v>2</v>
      </c>
      <c r="I31" s="293">
        <v>3</v>
      </c>
      <c r="J31" s="293">
        <v>3</v>
      </c>
      <c r="K31" s="293">
        <v>23</v>
      </c>
      <c r="L31" s="293">
        <v>6</v>
      </c>
      <c r="M31" s="293">
        <f>SUM(Table27[[#This Row],[Greenstone]:[RDM]])</f>
        <v>43</v>
      </c>
    </row>
    <row r="32" spans="1:13">
      <c r="B32" s="292" t="s">
        <v>1464</v>
      </c>
      <c r="C32" s="293">
        <v>3</v>
      </c>
      <c r="D32" s="293">
        <v>1</v>
      </c>
      <c r="E32" s="293">
        <v>0</v>
      </c>
      <c r="F32" s="293">
        <v>0</v>
      </c>
      <c r="G32" s="293">
        <v>10</v>
      </c>
      <c r="H32" s="293">
        <v>4</v>
      </c>
      <c r="I32" s="293">
        <v>2</v>
      </c>
      <c r="J32" s="293">
        <v>0</v>
      </c>
      <c r="K32" s="293">
        <v>0</v>
      </c>
      <c r="L32" s="293">
        <v>0</v>
      </c>
      <c r="M32" s="293">
        <f>SUM(Table27[[#This Row],[Greenstone]:[RDM]])</f>
        <v>20</v>
      </c>
    </row>
    <row r="33" spans="1:13">
      <c r="B33" s="292" t="s">
        <v>1465</v>
      </c>
      <c r="C33" s="293">
        <v>0</v>
      </c>
      <c r="D33" s="293">
        <v>0</v>
      </c>
      <c r="E33" s="293">
        <v>0</v>
      </c>
      <c r="F33" s="293">
        <v>0</v>
      </c>
      <c r="G33" s="293">
        <v>1</v>
      </c>
      <c r="H33" s="293">
        <v>0</v>
      </c>
      <c r="I33" s="293">
        <v>0</v>
      </c>
      <c r="J33" s="293">
        <v>0</v>
      </c>
      <c r="K33" s="293">
        <v>0</v>
      </c>
      <c r="L33" s="293">
        <v>0</v>
      </c>
      <c r="M33" s="293">
        <f>SUM(Table27[[#This Row],[Greenstone]:[RDM]])</f>
        <v>1</v>
      </c>
    </row>
    <row r="34" spans="1:13">
      <c r="B34" s="292" t="s">
        <v>1466</v>
      </c>
      <c r="C34" s="293">
        <v>0</v>
      </c>
      <c r="D34" s="293">
        <v>1</v>
      </c>
      <c r="E34" s="293">
        <v>0</v>
      </c>
      <c r="F34" s="293">
        <v>0</v>
      </c>
      <c r="G34" s="293">
        <v>13</v>
      </c>
      <c r="H34" s="293">
        <v>0</v>
      </c>
      <c r="I34" s="293">
        <v>2</v>
      </c>
      <c r="J34" s="293">
        <v>3</v>
      </c>
      <c r="K34" s="293">
        <v>1</v>
      </c>
      <c r="L34" s="293">
        <v>2</v>
      </c>
      <c r="M34" s="293">
        <f>SUM(Table27[[#This Row],[Greenstone]:[RDM]])</f>
        <v>22</v>
      </c>
    </row>
    <row r="35" spans="1:13">
      <c r="B35" s="292" t="s">
        <v>1467</v>
      </c>
      <c r="C35" s="488">
        <v>0.9375</v>
      </c>
      <c r="D35" s="488">
        <v>0.83333333333333337</v>
      </c>
      <c r="E35" s="488" t="s">
        <v>875</v>
      </c>
      <c r="F35" s="488" t="s">
        <v>875</v>
      </c>
      <c r="G35" s="488">
        <v>0.80645161290322576</v>
      </c>
      <c r="H35" s="488">
        <v>0.96078431372549022</v>
      </c>
      <c r="I35" s="488">
        <v>0.94495412844036697</v>
      </c>
      <c r="J35" s="488">
        <v>1</v>
      </c>
      <c r="K35" s="488">
        <v>0.88888888888888884</v>
      </c>
      <c r="L35" s="488">
        <v>1</v>
      </c>
      <c r="M35" s="489">
        <f>(15+5+25+49+103+11+13+8+11)/M29</f>
        <v>0.92664092664092668</v>
      </c>
    </row>
    <row r="36" spans="1:13">
      <c r="B36" s="38" t="s">
        <v>1468</v>
      </c>
      <c r="C36" s="488">
        <v>0.8</v>
      </c>
      <c r="D36" s="488">
        <v>0.8</v>
      </c>
      <c r="E36" s="488" t="s">
        <v>875</v>
      </c>
      <c r="F36" s="488" t="s">
        <v>875</v>
      </c>
      <c r="G36" s="488">
        <v>0.48</v>
      </c>
      <c r="H36" s="488">
        <v>0.18367346938775511</v>
      </c>
      <c r="I36" s="488">
        <v>0.1941747572815534</v>
      </c>
      <c r="J36" s="488">
        <v>0.18181818181818182</v>
      </c>
      <c r="K36" s="488">
        <v>0.41666666666666669</v>
      </c>
      <c r="L36" s="488">
        <v>0.125</v>
      </c>
      <c r="M36" s="489">
        <f>(12+4+12+9+20+2+4+1+6)/(15+5+25+49+103+11+13+8+11)</f>
        <v>0.29166666666666669</v>
      </c>
    </row>
    <row r="37" spans="1:13" ht="22.5" customHeight="1">
      <c r="B37" s="566" t="s">
        <v>1469</v>
      </c>
      <c r="C37" s="566"/>
      <c r="D37" s="566"/>
      <c r="E37" s="566"/>
      <c r="F37" s="566"/>
      <c r="G37" s="566"/>
      <c r="H37" s="566"/>
      <c r="I37" s="566"/>
      <c r="J37" s="566"/>
      <c r="K37" s="566"/>
      <c r="L37" s="566"/>
      <c r="M37" s="566"/>
    </row>
    <row r="39" spans="1:13">
      <c r="B39" s="19" t="s">
        <v>77</v>
      </c>
    </row>
    <row r="40" spans="1:13" s="18" customFormat="1">
      <c r="A40" s="13"/>
      <c r="B40" s="201" t="s">
        <v>1470</v>
      </c>
    </row>
    <row r="42" spans="1:13">
      <c r="B42" s="216" t="s">
        <v>1471</v>
      </c>
      <c r="C42" s="262" t="s">
        <v>744</v>
      </c>
      <c r="D42" s="262" t="s">
        <v>747</v>
      </c>
      <c r="E42" s="262" t="s">
        <v>750</v>
      </c>
      <c r="F42" s="262" t="s">
        <v>703</v>
      </c>
      <c r="G42" s="262" t="s">
        <v>1472</v>
      </c>
      <c r="H42" s="262" t="s">
        <v>1473</v>
      </c>
      <c r="I42" s="262" t="s">
        <v>1474</v>
      </c>
      <c r="J42" s="262" t="s">
        <v>1475</v>
      </c>
      <c r="K42" s="262" t="s">
        <v>1476</v>
      </c>
      <c r="L42" s="262" t="s">
        <v>1477</v>
      </c>
    </row>
    <row r="43" spans="1:13">
      <c r="B43" s="102" t="s">
        <v>1478</v>
      </c>
      <c r="C43" s="293">
        <v>0</v>
      </c>
      <c r="D43" s="293">
        <v>0</v>
      </c>
      <c r="E43" s="293">
        <v>0</v>
      </c>
      <c r="F43" s="293">
        <v>0</v>
      </c>
      <c r="G43" s="293">
        <v>0</v>
      </c>
      <c r="H43" s="293">
        <v>0</v>
      </c>
      <c r="I43" s="293">
        <v>0</v>
      </c>
      <c r="J43" s="293">
        <v>0</v>
      </c>
      <c r="K43" s="293">
        <v>0</v>
      </c>
      <c r="L43" s="293">
        <v>0</v>
      </c>
    </row>
    <row r="44" spans="1:13">
      <c r="B44" s="102" t="s">
        <v>1479</v>
      </c>
      <c r="C44" s="293" t="s">
        <v>875</v>
      </c>
      <c r="D44" s="293" t="s">
        <v>875</v>
      </c>
      <c r="E44" s="293" t="s">
        <v>875</v>
      </c>
      <c r="F44" s="293" t="s">
        <v>875</v>
      </c>
      <c r="G44" s="293" t="s">
        <v>875</v>
      </c>
      <c r="H44" s="293" t="s">
        <v>875</v>
      </c>
      <c r="I44" s="293" t="s">
        <v>875</v>
      </c>
      <c r="J44" s="293" t="s">
        <v>875</v>
      </c>
      <c r="K44" s="293" t="s">
        <v>875</v>
      </c>
      <c r="L44" s="293" t="s">
        <v>875</v>
      </c>
    </row>
    <row r="45" spans="1:13">
      <c r="B45" s="102" t="s">
        <v>1480</v>
      </c>
      <c r="C45" s="293" t="s">
        <v>875</v>
      </c>
      <c r="D45" s="293" t="s">
        <v>875</v>
      </c>
      <c r="E45" s="293" t="s">
        <v>875</v>
      </c>
      <c r="F45" s="293" t="s">
        <v>875</v>
      </c>
      <c r="G45" s="293" t="s">
        <v>875</v>
      </c>
      <c r="H45" s="293" t="s">
        <v>875</v>
      </c>
      <c r="I45" s="293" t="s">
        <v>875</v>
      </c>
      <c r="J45" s="293" t="s">
        <v>875</v>
      </c>
      <c r="K45" s="293" t="s">
        <v>875</v>
      </c>
      <c r="L45" s="293" t="s">
        <v>875</v>
      </c>
    </row>
    <row r="46" spans="1:13">
      <c r="B46" s="102" t="s">
        <v>1481</v>
      </c>
      <c r="C46" s="293" t="s">
        <v>875</v>
      </c>
      <c r="D46" s="293" t="s">
        <v>875</v>
      </c>
      <c r="E46" s="293" t="s">
        <v>875</v>
      </c>
      <c r="F46" s="293" t="s">
        <v>875</v>
      </c>
      <c r="G46" s="293" t="s">
        <v>875</v>
      </c>
      <c r="H46" s="293" t="s">
        <v>875</v>
      </c>
      <c r="I46" s="293" t="s">
        <v>875</v>
      </c>
      <c r="J46" s="293" t="s">
        <v>875</v>
      </c>
      <c r="K46" s="293" t="s">
        <v>875</v>
      </c>
      <c r="L46" s="293" t="s">
        <v>875</v>
      </c>
    </row>
    <row r="47" spans="1:13">
      <c r="B47" s="102" t="s">
        <v>1482</v>
      </c>
      <c r="C47" s="293" t="s">
        <v>875</v>
      </c>
      <c r="D47" s="293" t="s">
        <v>875</v>
      </c>
      <c r="E47" s="293" t="s">
        <v>875</v>
      </c>
      <c r="F47" s="293" t="s">
        <v>875</v>
      </c>
      <c r="G47" s="293" t="s">
        <v>875</v>
      </c>
      <c r="H47" s="293" t="s">
        <v>875</v>
      </c>
      <c r="I47" s="293" t="s">
        <v>875</v>
      </c>
      <c r="J47" s="293" t="s">
        <v>875</v>
      </c>
      <c r="K47" s="293" t="s">
        <v>875</v>
      </c>
      <c r="L47" s="293" t="s">
        <v>875</v>
      </c>
    </row>
    <row r="48" spans="1:13" ht="33.75" customHeight="1">
      <c r="B48" s="566" t="s">
        <v>1483</v>
      </c>
      <c r="C48" s="566"/>
      <c r="D48" s="566"/>
      <c r="E48" s="566"/>
      <c r="F48" s="566"/>
      <c r="G48" s="566"/>
      <c r="H48" s="566"/>
      <c r="I48" s="566"/>
      <c r="J48" s="566"/>
      <c r="K48" s="566"/>
      <c r="L48" s="566"/>
    </row>
    <row r="50" spans="1:13">
      <c r="B50" s="19" t="s">
        <v>1484</v>
      </c>
    </row>
    <row r="51" spans="1:13" s="18" customFormat="1">
      <c r="A51" s="13"/>
      <c r="B51" s="201" t="s">
        <v>1485</v>
      </c>
    </row>
    <row r="53" spans="1:13">
      <c r="B53" s="216" t="s">
        <v>1486</v>
      </c>
      <c r="C53" s="228" t="s">
        <v>744</v>
      </c>
      <c r="D53" s="228" t="s">
        <v>747</v>
      </c>
      <c r="E53" s="262" t="s">
        <v>750</v>
      </c>
      <c r="F53" s="262" t="s">
        <v>703</v>
      </c>
      <c r="G53" s="228" t="s">
        <v>755</v>
      </c>
      <c r="H53" s="228" t="s">
        <v>758</v>
      </c>
      <c r="I53" s="228" t="s">
        <v>761</v>
      </c>
      <c r="J53" s="228" t="s">
        <v>765</v>
      </c>
      <c r="K53" s="228" t="s">
        <v>768</v>
      </c>
      <c r="L53" s="228" t="s">
        <v>770</v>
      </c>
      <c r="M53" s="228" t="s">
        <v>835</v>
      </c>
    </row>
    <row r="54" spans="1:13">
      <c r="B54" s="38" t="s">
        <v>1437</v>
      </c>
      <c r="C54" s="294">
        <v>1</v>
      </c>
      <c r="D54" s="294">
        <v>0</v>
      </c>
      <c r="E54" s="294">
        <v>0</v>
      </c>
      <c r="F54" s="294">
        <v>0</v>
      </c>
      <c r="G54" s="294">
        <v>0</v>
      </c>
      <c r="H54" s="294">
        <v>0</v>
      </c>
      <c r="I54" s="294">
        <v>0</v>
      </c>
      <c r="J54" s="294">
        <v>0</v>
      </c>
      <c r="K54" s="294">
        <v>0</v>
      </c>
      <c r="L54" s="294">
        <v>0</v>
      </c>
      <c r="M54" s="294">
        <v>4.9456943366951125E-2</v>
      </c>
    </row>
    <row r="55" spans="1:13">
      <c r="B55" s="38" t="s">
        <v>1438</v>
      </c>
      <c r="C55" s="294">
        <v>1</v>
      </c>
      <c r="D55" s="294">
        <v>0</v>
      </c>
      <c r="E55" s="294">
        <v>0</v>
      </c>
      <c r="F55" s="294">
        <v>0</v>
      </c>
      <c r="G55" s="294">
        <v>0</v>
      </c>
      <c r="H55" s="294">
        <v>0</v>
      </c>
      <c r="I55" s="294">
        <v>0</v>
      </c>
      <c r="J55" s="294">
        <v>0</v>
      </c>
      <c r="K55" s="294">
        <v>0</v>
      </c>
      <c r="L55" s="294">
        <v>0</v>
      </c>
      <c r="M55" s="294">
        <v>0.3888730181402657</v>
      </c>
    </row>
    <row r="56" spans="1:13" ht="44.25" customHeight="1">
      <c r="B56" s="602" t="s">
        <v>1487</v>
      </c>
      <c r="C56" s="640"/>
      <c r="D56" s="640"/>
      <c r="E56" s="640"/>
      <c r="F56" s="640"/>
      <c r="G56" s="640"/>
      <c r="H56" s="640"/>
      <c r="I56" s="640"/>
      <c r="J56" s="640"/>
      <c r="K56" s="640"/>
      <c r="L56" s="640"/>
      <c r="M56" s="640"/>
    </row>
    <row r="58" spans="1:13">
      <c r="B58" s="19" t="s">
        <v>81</v>
      </c>
    </row>
    <row r="59" spans="1:13" s="18" customFormat="1">
      <c r="A59" s="13"/>
      <c r="B59" s="201" t="s">
        <v>1488</v>
      </c>
    </row>
    <row r="61" spans="1:13">
      <c r="B61" s="295" t="s">
        <v>1489</v>
      </c>
      <c r="C61" s="262" t="s">
        <v>744</v>
      </c>
      <c r="D61" s="262" t="s">
        <v>1490</v>
      </c>
      <c r="E61" s="262" t="s">
        <v>750</v>
      </c>
      <c r="F61" s="262" t="s">
        <v>703</v>
      </c>
      <c r="G61" s="262" t="s">
        <v>755</v>
      </c>
      <c r="H61" s="262" t="s">
        <v>758</v>
      </c>
      <c r="I61" s="262" t="s">
        <v>761</v>
      </c>
      <c r="J61" s="262" t="s">
        <v>765</v>
      </c>
      <c r="K61" s="262" t="s">
        <v>768</v>
      </c>
      <c r="L61" s="262" t="s">
        <v>770</v>
      </c>
    </row>
    <row r="62" spans="1:13">
      <c r="B62" s="296" t="s">
        <v>1491</v>
      </c>
      <c r="C62" s="490" t="s">
        <v>1258</v>
      </c>
      <c r="D62" s="490" t="s">
        <v>1258</v>
      </c>
      <c r="E62" s="490" t="s">
        <v>875</v>
      </c>
      <c r="F62" s="490" t="s">
        <v>875</v>
      </c>
      <c r="G62" s="490" t="s">
        <v>875</v>
      </c>
      <c r="H62" s="490" t="s">
        <v>875</v>
      </c>
      <c r="I62" s="490" t="s">
        <v>875</v>
      </c>
      <c r="J62" s="490" t="s">
        <v>875</v>
      </c>
      <c r="K62" s="490" t="s">
        <v>875</v>
      </c>
      <c r="L62" s="490" t="s">
        <v>875</v>
      </c>
    </row>
    <row r="63" spans="1:13">
      <c r="B63" s="296" t="s">
        <v>1492</v>
      </c>
      <c r="C63" s="490" t="s">
        <v>1258</v>
      </c>
      <c r="D63" s="490" t="s">
        <v>1258</v>
      </c>
      <c r="E63" s="490" t="s">
        <v>875</v>
      </c>
      <c r="F63" s="490" t="s">
        <v>875</v>
      </c>
      <c r="G63" s="490" t="s">
        <v>875</v>
      </c>
      <c r="H63" s="490" t="s">
        <v>875</v>
      </c>
      <c r="I63" s="490" t="s">
        <v>875</v>
      </c>
      <c r="J63" s="490" t="s">
        <v>875</v>
      </c>
      <c r="K63" s="490" t="s">
        <v>875</v>
      </c>
      <c r="L63" s="490" t="s">
        <v>875</v>
      </c>
    </row>
    <row r="64" spans="1:13">
      <c r="B64" s="296" t="s">
        <v>1493</v>
      </c>
      <c r="C64" s="490" t="s">
        <v>1258</v>
      </c>
      <c r="D64" s="490" t="s">
        <v>1258</v>
      </c>
      <c r="E64" s="490" t="s">
        <v>875</v>
      </c>
      <c r="F64" s="490" t="s">
        <v>875</v>
      </c>
      <c r="G64" s="490" t="s">
        <v>875</v>
      </c>
      <c r="H64" s="490" t="s">
        <v>875</v>
      </c>
      <c r="I64" s="490" t="s">
        <v>875</v>
      </c>
      <c r="J64" s="490" t="s">
        <v>875</v>
      </c>
      <c r="K64" s="490" t="s">
        <v>875</v>
      </c>
      <c r="L64" s="490" t="s">
        <v>875</v>
      </c>
    </row>
    <row r="65" spans="1:13">
      <c r="B65" s="296" t="s">
        <v>1494</v>
      </c>
      <c r="C65" s="490" t="s">
        <v>1495</v>
      </c>
      <c r="D65" s="490" t="s">
        <v>1495</v>
      </c>
      <c r="E65" s="490" t="s">
        <v>875</v>
      </c>
      <c r="F65" s="490" t="s">
        <v>875</v>
      </c>
      <c r="G65" s="490" t="s">
        <v>875</v>
      </c>
      <c r="H65" s="490" t="s">
        <v>875</v>
      </c>
      <c r="I65" s="490" t="s">
        <v>875</v>
      </c>
      <c r="J65" s="490" t="s">
        <v>875</v>
      </c>
      <c r="K65" s="490" t="s">
        <v>875</v>
      </c>
      <c r="L65" s="490" t="s">
        <v>875</v>
      </c>
    </row>
    <row r="66" spans="1:13" ht="21" customHeight="1">
      <c r="B66" s="639" t="s">
        <v>1496</v>
      </c>
      <c r="C66" s="639"/>
      <c r="D66" s="639"/>
      <c r="E66" s="639"/>
      <c r="F66" s="639"/>
      <c r="G66" s="639"/>
      <c r="H66" s="639"/>
      <c r="I66" s="639"/>
      <c r="J66" s="639"/>
      <c r="K66" s="639"/>
      <c r="L66" s="639"/>
    </row>
    <row r="67" spans="1:13">
      <c r="B67" s="40"/>
      <c r="C67" s="40"/>
      <c r="D67" s="40"/>
      <c r="E67" s="40"/>
      <c r="F67" s="40"/>
      <c r="G67" s="40"/>
      <c r="H67" s="40"/>
      <c r="I67" s="40"/>
      <c r="J67" s="40"/>
      <c r="K67" s="40"/>
      <c r="L67" s="40"/>
      <c r="M67" s="40"/>
    </row>
    <row r="68" spans="1:13">
      <c r="B68" s="19" t="s">
        <v>83</v>
      </c>
      <c r="C68" s="40"/>
      <c r="D68" s="40"/>
      <c r="E68" s="40"/>
      <c r="F68" s="40"/>
      <c r="G68" s="40"/>
      <c r="H68" s="40"/>
      <c r="I68" s="40"/>
      <c r="J68" s="40"/>
      <c r="K68" s="40"/>
      <c r="L68" s="40"/>
      <c r="M68" s="40"/>
    </row>
    <row r="69" spans="1:13" s="18" customFormat="1">
      <c r="A69" s="13"/>
      <c r="B69" s="201" t="s">
        <v>1497</v>
      </c>
    </row>
    <row r="71" spans="1:13">
      <c r="B71" s="295" t="s">
        <v>1498</v>
      </c>
      <c r="C71" s="262" t="s">
        <v>744</v>
      </c>
      <c r="D71" s="262" t="s">
        <v>747</v>
      </c>
      <c r="E71" s="262" t="s">
        <v>750</v>
      </c>
      <c r="F71" s="262" t="s">
        <v>703</v>
      </c>
      <c r="G71" s="262" t="s">
        <v>755</v>
      </c>
      <c r="H71" s="262" t="s">
        <v>758</v>
      </c>
      <c r="I71" s="262" t="s">
        <v>761</v>
      </c>
      <c r="J71" s="262" t="s">
        <v>765</v>
      </c>
      <c r="K71" s="262" t="s">
        <v>768</v>
      </c>
      <c r="L71" s="262" t="s">
        <v>770</v>
      </c>
    </row>
    <row r="72" spans="1:13">
      <c r="B72" s="297" t="s">
        <v>1499</v>
      </c>
      <c r="C72" s="293" t="s">
        <v>1259</v>
      </c>
      <c r="D72" s="293" t="s">
        <v>1259</v>
      </c>
      <c r="E72" s="293" t="s">
        <v>1259</v>
      </c>
      <c r="F72" s="293" t="s">
        <v>1259</v>
      </c>
      <c r="G72" s="293" t="s">
        <v>1259</v>
      </c>
      <c r="H72" s="293" t="s">
        <v>1258</v>
      </c>
      <c r="I72" s="293" t="s">
        <v>1259</v>
      </c>
      <c r="J72" s="293" t="s">
        <v>1259</v>
      </c>
      <c r="K72" s="293" t="s">
        <v>1259</v>
      </c>
      <c r="L72" s="293" t="s">
        <v>1259</v>
      </c>
    </row>
    <row r="73" spans="1:13">
      <c r="B73" s="297" t="s">
        <v>1500</v>
      </c>
      <c r="C73" s="293" t="s">
        <v>875</v>
      </c>
      <c r="D73" s="293" t="s">
        <v>875</v>
      </c>
      <c r="E73" s="293" t="s">
        <v>875</v>
      </c>
      <c r="F73" s="293" t="s">
        <v>875</v>
      </c>
      <c r="G73" s="293" t="s">
        <v>875</v>
      </c>
      <c r="H73" s="293">
        <v>318</v>
      </c>
      <c r="I73" s="293" t="s">
        <v>875</v>
      </c>
      <c r="J73" s="293" t="s">
        <v>875</v>
      </c>
      <c r="K73" s="293" t="s">
        <v>875</v>
      </c>
      <c r="L73" s="293" t="s">
        <v>875</v>
      </c>
    </row>
    <row r="74" spans="1:13">
      <c r="B74" s="297" t="s">
        <v>1501</v>
      </c>
      <c r="C74" s="293" t="s">
        <v>875</v>
      </c>
      <c r="D74" s="293" t="s">
        <v>875</v>
      </c>
      <c r="E74" s="293" t="s">
        <v>875</v>
      </c>
      <c r="F74" s="293" t="s">
        <v>875</v>
      </c>
      <c r="G74" s="293" t="s">
        <v>875</v>
      </c>
      <c r="H74" s="293">
        <v>110</v>
      </c>
      <c r="I74" s="293" t="s">
        <v>875</v>
      </c>
      <c r="J74" s="293" t="s">
        <v>875</v>
      </c>
      <c r="K74" s="293" t="s">
        <v>875</v>
      </c>
      <c r="L74" s="293" t="s">
        <v>875</v>
      </c>
    </row>
    <row r="75" spans="1:13">
      <c r="B75" s="297" t="s">
        <v>1502</v>
      </c>
      <c r="C75" s="293" t="s">
        <v>875</v>
      </c>
      <c r="D75" s="293" t="s">
        <v>875</v>
      </c>
      <c r="E75" s="293" t="s">
        <v>875</v>
      </c>
      <c r="F75" s="293" t="s">
        <v>875</v>
      </c>
      <c r="G75" s="293" t="s">
        <v>875</v>
      </c>
      <c r="H75" s="293">
        <v>130</v>
      </c>
      <c r="I75" s="293" t="s">
        <v>875</v>
      </c>
      <c r="J75" s="293" t="s">
        <v>875</v>
      </c>
      <c r="K75" s="293" t="s">
        <v>875</v>
      </c>
      <c r="L75" s="293" t="s">
        <v>875</v>
      </c>
    </row>
    <row r="76" spans="1:13">
      <c r="B76" s="297" t="s">
        <v>1503</v>
      </c>
      <c r="C76" s="293" t="s">
        <v>875</v>
      </c>
      <c r="D76" s="293" t="s">
        <v>875</v>
      </c>
      <c r="E76" s="293" t="s">
        <v>875</v>
      </c>
      <c r="F76" s="293" t="s">
        <v>875</v>
      </c>
      <c r="G76" s="293" t="s">
        <v>875</v>
      </c>
      <c r="H76" s="293">
        <v>78</v>
      </c>
      <c r="I76" s="293" t="s">
        <v>875</v>
      </c>
      <c r="J76" s="293" t="s">
        <v>875</v>
      </c>
      <c r="K76" s="293" t="s">
        <v>875</v>
      </c>
      <c r="L76" s="293" t="s">
        <v>875</v>
      </c>
    </row>
    <row r="78" spans="1:13">
      <c r="B78" s="19" t="s">
        <v>85</v>
      </c>
    </row>
    <row r="79" spans="1:13" s="18" customFormat="1">
      <c r="A79" s="13"/>
      <c r="B79" s="201" t="s">
        <v>1504</v>
      </c>
    </row>
    <row r="81" spans="1:13">
      <c r="B81" s="295" t="s">
        <v>1505</v>
      </c>
      <c r="C81" s="262" t="s">
        <v>744</v>
      </c>
      <c r="D81" s="262" t="s">
        <v>747</v>
      </c>
      <c r="E81" s="262" t="s">
        <v>750</v>
      </c>
      <c r="F81" s="262" t="s">
        <v>703</v>
      </c>
      <c r="G81" s="262" t="s">
        <v>755</v>
      </c>
      <c r="H81" s="262" t="s">
        <v>758</v>
      </c>
      <c r="I81" s="262" t="s">
        <v>761</v>
      </c>
      <c r="J81" s="262" t="s">
        <v>765</v>
      </c>
      <c r="K81" s="262" t="s">
        <v>768</v>
      </c>
      <c r="L81" s="262" t="s">
        <v>770</v>
      </c>
      <c r="M81" s="41"/>
    </row>
    <row r="82" spans="1:13">
      <c r="B82" s="297" t="s">
        <v>1506</v>
      </c>
      <c r="C82" s="293" t="s">
        <v>1259</v>
      </c>
      <c r="D82" s="293" t="s">
        <v>1259</v>
      </c>
      <c r="E82" s="293" t="s">
        <v>1259</v>
      </c>
      <c r="F82" s="293" t="s">
        <v>1259</v>
      </c>
      <c r="G82" s="293" t="s">
        <v>1259</v>
      </c>
      <c r="H82" s="293" t="s">
        <v>1259</v>
      </c>
      <c r="I82" s="293" t="s">
        <v>1259</v>
      </c>
      <c r="J82" s="293" t="s">
        <v>1259</v>
      </c>
      <c r="K82" s="293" t="s">
        <v>1259</v>
      </c>
      <c r="L82" s="293" t="s">
        <v>1259</v>
      </c>
      <c r="M82" s="41"/>
    </row>
    <row r="83" spans="1:13">
      <c r="B83" s="297" t="s">
        <v>1507</v>
      </c>
      <c r="C83" s="293" t="s">
        <v>875</v>
      </c>
      <c r="D83" s="293" t="s">
        <v>875</v>
      </c>
      <c r="E83" s="293" t="s">
        <v>875</v>
      </c>
      <c r="F83" s="293" t="s">
        <v>875</v>
      </c>
      <c r="G83" s="293" t="s">
        <v>875</v>
      </c>
      <c r="H83" s="293" t="s">
        <v>875</v>
      </c>
      <c r="I83" s="293" t="s">
        <v>875</v>
      </c>
      <c r="J83" s="293" t="s">
        <v>875</v>
      </c>
      <c r="K83" s="293" t="s">
        <v>875</v>
      </c>
      <c r="L83" s="293" t="s">
        <v>875</v>
      </c>
      <c r="M83" s="41"/>
    </row>
    <row r="84" spans="1:13" ht="17.399999999999999" customHeight="1">
      <c r="B84" s="298" t="s">
        <v>1508</v>
      </c>
      <c r="C84" s="490" t="s">
        <v>875</v>
      </c>
      <c r="D84" s="490" t="s">
        <v>875</v>
      </c>
      <c r="E84" s="490" t="s">
        <v>875</v>
      </c>
      <c r="F84" s="490" t="s">
        <v>875</v>
      </c>
      <c r="G84" s="491" t="s">
        <v>875</v>
      </c>
      <c r="H84" s="490" t="s">
        <v>875</v>
      </c>
      <c r="I84" s="490" t="s">
        <v>875</v>
      </c>
      <c r="J84" s="490" t="s">
        <v>875</v>
      </c>
      <c r="K84" s="490" t="s">
        <v>875</v>
      </c>
      <c r="L84" s="490" t="s">
        <v>875</v>
      </c>
      <c r="M84" s="42"/>
    </row>
    <row r="85" spans="1:13" ht="27.75" customHeight="1">
      <c r="B85" s="639" t="s">
        <v>1509</v>
      </c>
      <c r="C85" s="639"/>
      <c r="D85" s="639"/>
      <c r="E85" s="639"/>
      <c r="F85" s="639"/>
      <c r="G85" s="639"/>
      <c r="H85" s="639"/>
      <c r="I85" s="639"/>
      <c r="J85" s="639"/>
      <c r="K85" s="639"/>
      <c r="L85" s="639"/>
      <c r="M85" s="44"/>
    </row>
    <row r="86" spans="1:13">
      <c r="B86" s="40"/>
      <c r="C86" s="40"/>
      <c r="D86" s="40"/>
      <c r="E86" s="40"/>
      <c r="F86" s="40"/>
      <c r="G86" s="40"/>
      <c r="H86" s="40"/>
      <c r="I86" s="40"/>
      <c r="J86" s="40"/>
      <c r="K86" s="40"/>
      <c r="L86" s="40"/>
      <c r="M86" s="40"/>
    </row>
    <row r="87" spans="1:13">
      <c r="B87" s="19" t="s">
        <v>1051</v>
      </c>
    </row>
    <row r="88" spans="1:13" s="18" customFormat="1">
      <c r="A88" s="13"/>
      <c r="B88" s="201" t="s">
        <v>1510</v>
      </c>
    </row>
    <row r="90" spans="1:13">
      <c r="B90" s="216" t="s">
        <v>1511</v>
      </c>
      <c r="C90" s="262" t="s">
        <v>744</v>
      </c>
      <c r="D90" s="262" t="s">
        <v>747</v>
      </c>
      <c r="E90" s="262" t="s">
        <v>750</v>
      </c>
      <c r="F90" s="262" t="s">
        <v>703</v>
      </c>
      <c r="G90" s="262" t="s">
        <v>755</v>
      </c>
      <c r="H90" s="262" t="s">
        <v>758</v>
      </c>
      <c r="I90" s="262" t="s">
        <v>761</v>
      </c>
      <c r="J90" s="262" t="s">
        <v>765</v>
      </c>
      <c r="K90" s="262" t="s">
        <v>768</v>
      </c>
      <c r="L90" s="262" t="s">
        <v>770</v>
      </c>
    </row>
    <row r="91" spans="1:13">
      <c r="B91" s="299" t="s">
        <v>1512</v>
      </c>
      <c r="C91" s="293">
        <v>0</v>
      </c>
      <c r="D91" s="293">
        <v>0</v>
      </c>
      <c r="E91" s="293">
        <v>0</v>
      </c>
      <c r="F91" s="293">
        <v>0</v>
      </c>
      <c r="G91" s="293">
        <v>1</v>
      </c>
      <c r="H91" s="293">
        <v>0</v>
      </c>
      <c r="I91" s="293">
        <v>0</v>
      </c>
      <c r="J91" s="293">
        <v>0</v>
      </c>
      <c r="K91" s="293">
        <v>0</v>
      </c>
      <c r="L91" s="293">
        <v>0</v>
      </c>
    </row>
    <row r="92" spans="1:13">
      <c r="B92" s="261" t="s">
        <v>1513</v>
      </c>
      <c r="C92" s="293">
        <v>0</v>
      </c>
      <c r="D92" s="293">
        <v>0</v>
      </c>
      <c r="E92" s="293">
        <v>0</v>
      </c>
      <c r="F92" s="293">
        <v>0</v>
      </c>
      <c r="G92" s="293">
        <v>275</v>
      </c>
      <c r="H92" s="293">
        <v>0</v>
      </c>
      <c r="I92" s="293">
        <v>0</v>
      </c>
      <c r="J92" s="293">
        <v>0</v>
      </c>
      <c r="K92" s="293">
        <v>0</v>
      </c>
      <c r="L92" s="293">
        <v>0</v>
      </c>
    </row>
    <row r="93" spans="1:13" ht="24.75" customHeight="1">
      <c r="B93" s="566" t="s">
        <v>1514</v>
      </c>
      <c r="C93" s="566"/>
      <c r="D93" s="566"/>
      <c r="E93" s="566"/>
      <c r="F93" s="566"/>
      <c r="G93" s="566"/>
      <c r="H93" s="566"/>
      <c r="I93" s="566"/>
      <c r="J93" s="566"/>
      <c r="K93" s="566"/>
      <c r="L93" s="566"/>
      <c r="M93" s="27"/>
    </row>
    <row r="94" spans="1:13" ht="23.4">
      <c r="B94" s="113"/>
      <c r="G94" s="41"/>
    </row>
  </sheetData>
  <mergeCells count="10">
    <mergeCell ref="B93:L93"/>
    <mergeCell ref="B85:L85"/>
    <mergeCell ref="B23:M23"/>
    <mergeCell ref="B37:M37"/>
    <mergeCell ref="B2:H2"/>
    <mergeCell ref="B6:K6"/>
    <mergeCell ref="B56:M56"/>
    <mergeCell ref="B48:L48"/>
    <mergeCell ref="B66:L66"/>
    <mergeCell ref="B3:L3"/>
  </mergeCells>
  <phoneticPr fontId="11" type="noConversion"/>
  <hyperlinks>
    <hyperlink ref="B7" r:id="rId1" xr:uid="{0DF23FA9-0732-414C-81B1-F16D186B482C}"/>
  </hyperlinks>
  <pageMargins left="0.7" right="0.7" top="0.75" bottom="0.75" header="0.3" footer="0.3"/>
  <drawing r:id="rId2"/>
  <tableParts count="8">
    <tablePart r:id="rId3"/>
    <tablePart r:id="rId4"/>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F535-D96A-499A-A279-724917962BDC}">
  <dimension ref="A2:P65"/>
  <sheetViews>
    <sheetView showGridLines="0" zoomScale="80" zoomScaleNormal="80" workbookViewId="0">
      <selection activeCell="J20" sqref="J20"/>
    </sheetView>
  </sheetViews>
  <sheetFormatPr defaultColWidth="8.88671875" defaultRowHeight="14.4"/>
  <cols>
    <col min="1" max="1" width="4" customWidth="1"/>
    <col min="2" max="16" width="25.6640625" customWidth="1"/>
  </cols>
  <sheetData>
    <row r="2" spans="1:13" ht="21">
      <c r="A2" s="19"/>
      <c r="B2" s="564" t="s">
        <v>1515</v>
      </c>
      <c r="C2" s="564"/>
      <c r="D2" s="564"/>
      <c r="E2" s="564"/>
      <c r="F2" s="564"/>
      <c r="G2" s="564"/>
      <c r="H2" s="564"/>
      <c r="I2" s="117"/>
    </row>
    <row r="3" spans="1:13" ht="32.25" customHeight="1">
      <c r="A3" s="221"/>
      <c r="B3" s="565" t="s">
        <v>1516</v>
      </c>
      <c r="C3" s="565"/>
      <c r="D3" s="565"/>
      <c r="E3" s="565"/>
      <c r="F3" s="565"/>
      <c r="G3" s="565"/>
      <c r="H3" s="565"/>
      <c r="I3" s="565"/>
      <c r="J3" s="565"/>
      <c r="K3" s="565"/>
      <c r="L3" s="565"/>
      <c r="M3" s="63"/>
    </row>
    <row r="5" spans="1:13" ht="18">
      <c r="B5" s="19" t="s">
        <v>1239</v>
      </c>
      <c r="C5" s="17"/>
      <c r="D5" s="17"/>
      <c r="E5" s="17"/>
    </row>
    <row r="6" spans="1:13" s="18" customFormat="1">
      <c r="A6" s="13"/>
      <c r="B6" s="568" t="s">
        <v>1517</v>
      </c>
      <c r="C6" s="568"/>
      <c r="D6" s="568"/>
      <c r="E6" s="568"/>
      <c r="F6" s="568"/>
      <c r="G6" s="568"/>
      <c r="H6" s="568"/>
      <c r="I6" s="568"/>
      <c r="J6" s="568"/>
      <c r="K6" s="568"/>
    </row>
    <row r="7" spans="1:13">
      <c r="B7" s="458" t="s">
        <v>1518</v>
      </c>
    </row>
    <row r="9" spans="1:13" s="1" customFormat="1">
      <c r="B9" s="19" t="s">
        <v>90</v>
      </c>
    </row>
    <row r="10" spans="1:13" s="20" customFormat="1">
      <c r="A10"/>
      <c r="B10" s="201" t="s">
        <v>1519</v>
      </c>
      <c r="C10" s="18"/>
      <c r="D10" s="18"/>
      <c r="E10" s="18"/>
      <c r="F10" s="18"/>
      <c r="H10" s="23"/>
      <c r="I10" s="23"/>
      <c r="J10" s="23"/>
    </row>
    <row r="11" spans="1:13">
      <c r="C11" s="5"/>
      <c r="D11" s="5"/>
      <c r="F11" s="5"/>
    </row>
    <row r="12" spans="1:13">
      <c r="B12" s="340" t="s">
        <v>1520</v>
      </c>
      <c r="C12" s="232" t="s">
        <v>693</v>
      </c>
      <c r="D12" s="232" t="s">
        <v>701</v>
      </c>
      <c r="E12" s="232" t="s">
        <v>710</v>
      </c>
      <c r="F12" s="232" t="s">
        <v>713</v>
      </c>
      <c r="G12" s="232" t="s">
        <v>705</v>
      </c>
      <c r="H12" s="345" t="s">
        <v>835</v>
      </c>
    </row>
    <row r="13" spans="1:13">
      <c r="B13" s="230" t="s">
        <v>1198</v>
      </c>
      <c r="C13" s="230"/>
      <c r="D13" s="230"/>
      <c r="E13" s="230"/>
      <c r="F13" s="348"/>
      <c r="G13" s="230"/>
      <c r="H13" s="230"/>
    </row>
    <row r="14" spans="1:13" ht="41.4">
      <c r="B14" s="304" t="s">
        <v>1521</v>
      </c>
      <c r="C14" s="529">
        <v>0</v>
      </c>
      <c r="D14" s="529">
        <v>0</v>
      </c>
      <c r="E14" s="529">
        <v>0</v>
      </c>
      <c r="F14" s="529">
        <v>0</v>
      </c>
      <c r="G14" s="205">
        <v>0</v>
      </c>
      <c r="H14" s="205">
        <v>0</v>
      </c>
    </row>
    <row r="15" spans="1:13" ht="30" customHeight="1">
      <c r="B15" s="304" t="s">
        <v>1522</v>
      </c>
      <c r="C15" s="534">
        <v>0</v>
      </c>
      <c r="D15" s="534">
        <v>0</v>
      </c>
      <c r="E15" s="534">
        <v>0</v>
      </c>
      <c r="F15" s="534">
        <v>0</v>
      </c>
      <c r="G15" s="535">
        <v>0</v>
      </c>
      <c r="H15" s="535">
        <v>0</v>
      </c>
    </row>
    <row r="16" spans="1:13" ht="27.6">
      <c r="B16" s="304" t="s">
        <v>1523</v>
      </c>
      <c r="C16" s="536">
        <v>5</v>
      </c>
      <c r="D16" s="536">
        <v>0</v>
      </c>
      <c r="E16" s="536">
        <v>4</v>
      </c>
      <c r="F16" s="536">
        <v>7</v>
      </c>
      <c r="G16" s="213">
        <v>2</v>
      </c>
      <c r="H16" s="213">
        <v>18</v>
      </c>
    </row>
    <row r="17" spans="2:16" ht="27.6">
      <c r="B17" s="304" t="s">
        <v>1524</v>
      </c>
      <c r="C17" s="534">
        <v>2.2002844320975092</v>
      </c>
      <c r="D17" s="534">
        <v>0</v>
      </c>
      <c r="E17" s="534">
        <v>3.9582679806796941</v>
      </c>
      <c r="F17" s="534">
        <v>2.3743191389717522</v>
      </c>
      <c r="G17" s="535">
        <v>0.52981820991492312</v>
      </c>
      <c r="H17" s="535">
        <v>1.6897350268986679</v>
      </c>
    </row>
    <row r="18" spans="2:16">
      <c r="B18" s="304" t="s">
        <v>1525</v>
      </c>
      <c r="C18" s="539">
        <v>2272433.4759</v>
      </c>
      <c r="D18" s="539">
        <v>646488</v>
      </c>
      <c r="E18" s="539">
        <v>1010543</v>
      </c>
      <c r="F18" s="539">
        <v>2948213.6099999994</v>
      </c>
      <c r="G18" s="540">
        <v>3774879.69</v>
      </c>
      <c r="H18" s="540">
        <v>10652557.775899999</v>
      </c>
    </row>
    <row r="19" spans="2:16">
      <c r="B19" s="230" t="s">
        <v>1526</v>
      </c>
      <c r="C19" s="537"/>
      <c r="D19" s="537"/>
      <c r="E19" s="538"/>
      <c r="F19" s="537"/>
      <c r="G19" s="538"/>
      <c r="H19" s="205"/>
    </row>
    <row r="20" spans="2:16" ht="28.5" customHeight="1">
      <c r="B20" s="304" t="s">
        <v>1521</v>
      </c>
      <c r="C20" s="529">
        <v>0</v>
      </c>
      <c r="D20" s="529">
        <v>0</v>
      </c>
      <c r="E20" s="529">
        <v>0</v>
      </c>
      <c r="F20" s="529">
        <v>0</v>
      </c>
      <c r="G20" s="529">
        <v>0</v>
      </c>
      <c r="H20" s="529">
        <v>0</v>
      </c>
    </row>
    <row r="21" spans="2:16" ht="29.1" customHeight="1">
      <c r="B21" s="304" t="s">
        <v>1522</v>
      </c>
      <c r="C21" s="534">
        <v>0</v>
      </c>
      <c r="D21" s="534">
        <v>0</v>
      </c>
      <c r="E21" s="534">
        <v>0</v>
      </c>
      <c r="F21" s="534">
        <v>0</v>
      </c>
      <c r="G21" s="534">
        <v>0</v>
      </c>
      <c r="H21" s="534">
        <v>0</v>
      </c>
    </row>
    <row r="22" spans="2:16" ht="27.6">
      <c r="B22" s="304" t="s">
        <v>1527</v>
      </c>
      <c r="C22" s="529">
        <v>16</v>
      </c>
      <c r="D22" s="529">
        <v>0</v>
      </c>
      <c r="E22" s="529">
        <v>0</v>
      </c>
      <c r="F22" s="529">
        <v>17</v>
      </c>
      <c r="G22" s="529">
        <v>3</v>
      </c>
      <c r="H22" s="529">
        <v>36</v>
      </c>
    </row>
    <row r="23" spans="2:16" ht="27.6">
      <c r="B23" s="304" t="s">
        <v>1524</v>
      </c>
      <c r="C23" s="534">
        <v>5.3033578531763448</v>
      </c>
      <c r="D23" s="534">
        <v>0</v>
      </c>
      <c r="E23" s="534">
        <v>0</v>
      </c>
      <c r="F23" s="534">
        <v>1.6465727659601697</v>
      </c>
      <c r="G23" s="534">
        <v>0.39500255460660477</v>
      </c>
      <c r="H23" s="534">
        <v>1.6289540066098678</v>
      </c>
    </row>
    <row r="24" spans="2:16">
      <c r="B24" s="304" t="s">
        <v>1525</v>
      </c>
      <c r="C24" s="539">
        <v>3016956.5100000002</v>
      </c>
      <c r="D24" s="539">
        <v>100300</v>
      </c>
      <c r="E24" s="539">
        <v>1063452</v>
      </c>
      <c r="F24" s="539">
        <v>10324475.389999999</v>
      </c>
      <c r="G24" s="539">
        <v>7594887.5899999999</v>
      </c>
      <c r="H24" s="539">
        <v>22100071.489999995</v>
      </c>
    </row>
    <row r="25" spans="2:16" ht="79.5" customHeight="1">
      <c r="B25" s="566" t="s">
        <v>1528</v>
      </c>
      <c r="C25" s="566"/>
      <c r="D25" s="566"/>
      <c r="E25" s="566"/>
      <c r="F25" s="566"/>
      <c r="G25" s="566"/>
      <c r="H25" s="566"/>
    </row>
    <row r="27" spans="2:16" ht="36.75" customHeight="1">
      <c r="B27" s="340" t="s">
        <v>1529</v>
      </c>
      <c r="C27" s="341" t="s">
        <v>694</v>
      </c>
      <c r="D27" s="341" t="s">
        <v>744</v>
      </c>
      <c r="E27" s="341" t="s">
        <v>747</v>
      </c>
      <c r="F27" s="342" t="s">
        <v>750</v>
      </c>
      <c r="G27" s="342" t="s">
        <v>703</v>
      </c>
      <c r="H27" s="341" t="s">
        <v>755</v>
      </c>
      <c r="I27" s="342" t="s">
        <v>714</v>
      </c>
      <c r="J27" s="342" t="s">
        <v>761</v>
      </c>
      <c r="K27" s="342" t="s">
        <v>758</v>
      </c>
      <c r="L27" s="343" t="s">
        <v>706</v>
      </c>
      <c r="M27" s="341" t="s">
        <v>765</v>
      </c>
      <c r="N27" s="341" t="s">
        <v>768</v>
      </c>
      <c r="O27" s="341" t="s">
        <v>770</v>
      </c>
      <c r="P27" s="122" t="s">
        <v>835</v>
      </c>
    </row>
    <row r="28" spans="2:16">
      <c r="B28" s="344" t="s">
        <v>1530</v>
      </c>
      <c r="C28" s="130">
        <v>0</v>
      </c>
      <c r="D28" s="130">
        <v>0</v>
      </c>
      <c r="E28" s="130">
        <v>0</v>
      </c>
      <c r="F28" s="130">
        <v>0</v>
      </c>
      <c r="G28" s="130">
        <v>0</v>
      </c>
      <c r="H28" s="130">
        <v>0</v>
      </c>
      <c r="I28" s="130">
        <v>0</v>
      </c>
      <c r="J28" s="130">
        <v>0</v>
      </c>
      <c r="K28" s="130">
        <v>0</v>
      </c>
      <c r="L28" s="130"/>
      <c r="M28" s="130">
        <v>0</v>
      </c>
      <c r="N28" s="130">
        <v>0</v>
      </c>
      <c r="O28" s="130">
        <v>0</v>
      </c>
      <c r="P28" s="130">
        <f>SUM(Table22[[#This Row],[Corporate Office]:[RDM]])</f>
        <v>0</v>
      </c>
    </row>
    <row r="29" spans="2:16">
      <c r="B29" s="129" t="s">
        <v>1531</v>
      </c>
      <c r="C29" s="130">
        <v>0</v>
      </c>
      <c r="D29" s="130">
        <v>73</v>
      </c>
      <c r="E29" s="130">
        <v>61</v>
      </c>
      <c r="F29" s="130">
        <v>6</v>
      </c>
      <c r="G29" s="130">
        <v>0</v>
      </c>
      <c r="H29" s="130">
        <v>22</v>
      </c>
      <c r="I29" s="130">
        <v>0</v>
      </c>
      <c r="J29" s="130">
        <v>56</v>
      </c>
      <c r="K29" s="130">
        <v>72</v>
      </c>
      <c r="L29" s="130">
        <v>0</v>
      </c>
      <c r="M29" s="130">
        <v>5</v>
      </c>
      <c r="N29" s="130">
        <v>15</v>
      </c>
      <c r="O29" s="130">
        <v>12</v>
      </c>
      <c r="P29" s="130">
        <f>SUM(Table22[[#This Row],[Corporate Office]:[RDM]])</f>
        <v>322</v>
      </c>
    </row>
    <row r="30" spans="2:16" ht="27.6">
      <c r="B30" s="129" t="s">
        <v>1532</v>
      </c>
      <c r="C30" s="130">
        <v>0</v>
      </c>
      <c r="D30" s="130">
        <v>11</v>
      </c>
      <c r="E30" s="130">
        <v>6</v>
      </c>
      <c r="F30" s="130">
        <v>0</v>
      </c>
      <c r="G30" s="130">
        <v>0</v>
      </c>
      <c r="H30" s="130">
        <v>1</v>
      </c>
      <c r="I30" s="130">
        <v>0</v>
      </c>
      <c r="J30" s="130">
        <v>1</v>
      </c>
      <c r="K30" s="130">
        <v>1</v>
      </c>
      <c r="L30" s="130">
        <v>0</v>
      </c>
      <c r="M30" s="130">
        <v>0</v>
      </c>
      <c r="N30" s="130">
        <v>2</v>
      </c>
      <c r="O30" s="130">
        <v>0</v>
      </c>
      <c r="P30" s="130">
        <f>SUM(Table22[[#This Row],[Corporate Office]:[RDM]])</f>
        <v>22</v>
      </c>
    </row>
    <row r="31" spans="2:16" ht="27.6">
      <c r="B31" s="129" t="s">
        <v>1533</v>
      </c>
      <c r="C31" s="130">
        <v>0</v>
      </c>
      <c r="D31" s="130">
        <v>0</v>
      </c>
      <c r="E31" s="130">
        <v>2</v>
      </c>
      <c r="F31" s="130">
        <v>0</v>
      </c>
      <c r="G31" s="130">
        <v>0</v>
      </c>
      <c r="H31" s="130">
        <v>1</v>
      </c>
      <c r="I31" s="130">
        <v>0</v>
      </c>
      <c r="J31" s="130">
        <v>5</v>
      </c>
      <c r="K31" s="130">
        <v>1</v>
      </c>
      <c r="L31" s="130">
        <v>0</v>
      </c>
      <c r="M31" s="130">
        <v>0</v>
      </c>
      <c r="N31" s="130">
        <v>0</v>
      </c>
      <c r="O31" s="130">
        <v>0</v>
      </c>
      <c r="P31" s="130">
        <f>SUM(Table22[[#This Row],[Corporate Office]:[RDM]])</f>
        <v>9</v>
      </c>
    </row>
    <row r="32" spans="2:16">
      <c r="B32" s="129" t="s">
        <v>1534</v>
      </c>
      <c r="C32" s="130">
        <v>0</v>
      </c>
      <c r="D32" s="130">
        <v>0</v>
      </c>
      <c r="E32" s="130">
        <v>2</v>
      </c>
      <c r="F32" s="130">
        <v>0</v>
      </c>
      <c r="G32" s="130">
        <v>0</v>
      </c>
      <c r="H32" s="130">
        <v>2</v>
      </c>
      <c r="I32" s="130">
        <v>0</v>
      </c>
      <c r="J32" s="130">
        <v>6</v>
      </c>
      <c r="K32" s="130">
        <v>10</v>
      </c>
      <c r="L32" s="130">
        <v>0</v>
      </c>
      <c r="M32" s="130">
        <v>2</v>
      </c>
      <c r="N32" s="130">
        <v>0</v>
      </c>
      <c r="O32" s="130">
        <v>1</v>
      </c>
      <c r="P32" s="130">
        <f>SUM(Table22[[#This Row],[Corporate Office]:[RDM]])</f>
        <v>23</v>
      </c>
    </row>
    <row r="33" spans="1:16" ht="30" customHeight="1">
      <c r="B33" s="129" t="s">
        <v>1535</v>
      </c>
      <c r="C33" s="130">
        <v>0</v>
      </c>
      <c r="D33" s="130">
        <v>11</v>
      </c>
      <c r="E33" s="130">
        <v>10</v>
      </c>
      <c r="F33" s="130">
        <v>0</v>
      </c>
      <c r="G33" s="130">
        <v>0</v>
      </c>
      <c r="H33" s="130">
        <v>4</v>
      </c>
      <c r="I33" s="130">
        <v>0</v>
      </c>
      <c r="J33" s="130">
        <v>12</v>
      </c>
      <c r="K33" s="130">
        <v>12</v>
      </c>
      <c r="L33" s="130">
        <v>0</v>
      </c>
      <c r="M33" s="130">
        <v>2</v>
      </c>
      <c r="N33" s="130">
        <v>2</v>
      </c>
      <c r="O33" s="130">
        <v>1</v>
      </c>
      <c r="P33" s="130">
        <f>SUM(Table22[[#This Row],[Corporate Office]:[RDM]])</f>
        <v>54</v>
      </c>
    </row>
    <row r="34" spans="1:16">
      <c r="B34" s="129" t="s">
        <v>1536</v>
      </c>
      <c r="C34" s="130">
        <v>0</v>
      </c>
      <c r="D34" s="130">
        <v>84</v>
      </c>
      <c r="E34" s="130">
        <v>71</v>
      </c>
      <c r="F34" s="130">
        <v>6</v>
      </c>
      <c r="G34" s="130">
        <v>0</v>
      </c>
      <c r="H34" s="130">
        <v>26</v>
      </c>
      <c r="I34" s="130">
        <v>0</v>
      </c>
      <c r="J34" s="130">
        <v>68</v>
      </c>
      <c r="K34" s="130">
        <v>84</v>
      </c>
      <c r="L34" s="130">
        <v>0</v>
      </c>
      <c r="M34" s="130">
        <v>7</v>
      </c>
      <c r="N34" s="130">
        <v>17</v>
      </c>
      <c r="O34" s="130">
        <v>13</v>
      </c>
      <c r="P34" s="130">
        <f>SUM(Table22[[#This Row],[Corporate Office]:[RDM]])</f>
        <v>376</v>
      </c>
    </row>
    <row r="35" spans="1:16">
      <c r="B35" s="129" t="s">
        <v>1537</v>
      </c>
      <c r="C35" s="350">
        <v>145286.24</v>
      </c>
      <c r="D35" s="350">
        <v>2735305.0859000003</v>
      </c>
      <c r="E35" s="350">
        <v>2408798.66</v>
      </c>
      <c r="F35" s="350">
        <v>666174</v>
      </c>
      <c r="G35" s="350">
        <v>80614</v>
      </c>
      <c r="H35" s="350">
        <v>2073995</v>
      </c>
      <c r="I35" s="350">
        <v>45723</v>
      </c>
      <c r="J35" s="350">
        <v>8394251.8300000001</v>
      </c>
      <c r="K35" s="350">
        <v>4832714.17</v>
      </c>
      <c r="L35" s="350">
        <v>718412.27999999991</v>
      </c>
      <c r="M35" s="350">
        <v>3612170</v>
      </c>
      <c r="N35" s="350">
        <v>5328854</v>
      </c>
      <c r="O35" s="350">
        <v>1710331</v>
      </c>
      <c r="P35" s="350">
        <f>SUM(Table22[[#This Row],[Corporate Office]:[RDM]])</f>
        <v>32752629.265900001</v>
      </c>
    </row>
    <row r="36" spans="1:16" ht="27.6">
      <c r="B36" s="129" t="s">
        <v>1538</v>
      </c>
      <c r="C36" s="351">
        <v>0</v>
      </c>
      <c r="D36" s="351">
        <v>30.709554277146161</v>
      </c>
      <c r="E36" s="351">
        <v>29.475273786477445</v>
      </c>
      <c r="F36" s="351">
        <v>9.0066559187239363</v>
      </c>
      <c r="G36" s="351">
        <v>0</v>
      </c>
      <c r="H36" s="351">
        <v>12.53619222804298</v>
      </c>
      <c r="I36" s="351">
        <v>0</v>
      </c>
      <c r="J36" s="351">
        <v>8.1007815082431236</v>
      </c>
      <c r="K36" s="351">
        <v>17.38153696766221</v>
      </c>
      <c r="L36" s="351">
        <v>0</v>
      </c>
      <c r="M36" s="351">
        <v>1.937893288521858</v>
      </c>
      <c r="N36" s="351">
        <v>3.1901793518831627</v>
      </c>
      <c r="O36" s="351">
        <v>7.6008679021779999</v>
      </c>
      <c r="P36" s="351">
        <v>11.47999438296906</v>
      </c>
    </row>
    <row r="37" spans="1:16" ht="27.6">
      <c r="B37" s="129" t="s">
        <v>1539</v>
      </c>
      <c r="C37" s="351">
        <v>0</v>
      </c>
      <c r="D37" s="351">
        <v>4.0214892505786635</v>
      </c>
      <c r="E37" s="351">
        <v>4.1514470121799221</v>
      </c>
      <c r="F37" s="351">
        <v>0</v>
      </c>
      <c r="G37" s="351">
        <v>0</v>
      </c>
      <c r="H37" s="351">
        <v>1.9286449581604583</v>
      </c>
      <c r="I37" s="351">
        <v>0</v>
      </c>
      <c r="J37" s="351">
        <v>1.429549677925257</v>
      </c>
      <c r="K37" s="351">
        <v>2.48307670966603</v>
      </c>
      <c r="L37" s="351">
        <v>0</v>
      </c>
      <c r="M37" s="351">
        <v>0.55368379672053092</v>
      </c>
      <c r="N37" s="351">
        <v>0.37531521786860739</v>
      </c>
      <c r="O37" s="351">
        <v>0.5846821463213846</v>
      </c>
      <c r="P37" s="351">
        <v>1.6487225975540674</v>
      </c>
    </row>
    <row r="38" spans="1:16" ht="27.6">
      <c r="B38" s="129" t="s">
        <v>1540</v>
      </c>
      <c r="C38" s="351">
        <v>0</v>
      </c>
      <c r="D38" s="351">
        <v>0</v>
      </c>
      <c r="E38" s="351">
        <v>0.83028940243598437</v>
      </c>
      <c r="F38" s="351">
        <v>0</v>
      </c>
      <c r="G38" s="351">
        <v>0</v>
      </c>
      <c r="H38" s="351">
        <v>0.96432247908022917</v>
      </c>
      <c r="I38" s="351">
        <v>0</v>
      </c>
      <c r="J38" s="351">
        <v>0.7147748389626285</v>
      </c>
      <c r="K38" s="351">
        <v>2.0692305913883584</v>
      </c>
      <c r="L38" s="351">
        <v>0</v>
      </c>
      <c r="M38" s="351">
        <v>0.55368379672053092</v>
      </c>
      <c r="N38" s="351">
        <v>0</v>
      </c>
      <c r="O38" s="351">
        <v>0.5846821463213846</v>
      </c>
      <c r="P38" s="351">
        <v>0.70223369895821386</v>
      </c>
    </row>
    <row r="39" spans="1:16" s="1" customFormat="1" ht="91.5" customHeight="1">
      <c r="B39" s="566" t="s">
        <v>1541</v>
      </c>
      <c r="C39" s="566"/>
      <c r="D39" s="566"/>
      <c r="E39" s="566"/>
      <c r="F39" s="566"/>
      <c r="G39" s="566"/>
      <c r="H39" s="566"/>
      <c r="I39" s="566"/>
      <c r="J39" s="566"/>
      <c r="K39" s="566"/>
      <c r="L39" s="566"/>
      <c r="M39" s="566"/>
      <c r="N39" s="566"/>
      <c r="O39" s="566"/>
      <c r="P39" s="566"/>
    </row>
    <row r="40" spans="1:16" s="1" customFormat="1">
      <c r="B40" s="21"/>
      <c r="C40" s="31"/>
      <c r="D40" s="31"/>
      <c r="E40" s="31"/>
      <c r="F40" s="31"/>
      <c r="G40" s="31"/>
      <c r="H40" s="31"/>
      <c r="I40" s="31"/>
      <c r="J40" s="31"/>
      <c r="K40" s="31"/>
      <c r="L40" s="31"/>
      <c r="M40" s="31"/>
    </row>
    <row r="41" spans="1:16" s="1" customFormat="1">
      <c r="B41" s="19" t="s">
        <v>92</v>
      </c>
    </row>
    <row r="42" spans="1:16" s="20" customFormat="1">
      <c r="A42"/>
      <c r="B42" s="201" t="s">
        <v>1542</v>
      </c>
      <c r="C42" s="18"/>
      <c r="D42" s="18"/>
      <c r="E42" s="18"/>
      <c r="F42" s="18"/>
      <c r="H42" s="23"/>
      <c r="I42" s="23"/>
      <c r="J42" s="23"/>
    </row>
    <row r="44" spans="1:16" ht="27.6">
      <c r="B44" s="233" t="s">
        <v>1543</v>
      </c>
      <c r="C44" s="339" t="s">
        <v>835</v>
      </c>
    </row>
    <row r="45" spans="1:16">
      <c r="B45" s="336" t="s">
        <v>1198</v>
      </c>
      <c r="C45" s="352"/>
    </row>
    <row r="46" spans="1:16" ht="40.5" customHeight="1">
      <c r="B46" s="338" t="s">
        <v>1544</v>
      </c>
      <c r="C46" s="541">
        <v>0</v>
      </c>
      <c r="E46" s="4"/>
    </row>
    <row r="47" spans="1:16" ht="41.4">
      <c r="B47" s="338" t="s">
        <v>1545</v>
      </c>
      <c r="C47" s="541">
        <v>1</v>
      </c>
    </row>
    <row r="48" spans="1:16">
      <c r="B48" s="337" t="s">
        <v>1526</v>
      </c>
      <c r="C48" s="492"/>
    </row>
    <row r="49" spans="1:13" ht="39.75" customHeight="1">
      <c r="B49" s="338" t="s">
        <v>1544</v>
      </c>
      <c r="C49" s="492">
        <v>0</v>
      </c>
    </row>
    <row r="50" spans="1:13" ht="41.4">
      <c r="B50" s="338" t="s">
        <v>1545</v>
      </c>
      <c r="C50" s="492">
        <v>0</v>
      </c>
    </row>
    <row r="51" spans="1:13" ht="98.25" customHeight="1">
      <c r="B51" s="566" t="s">
        <v>1546</v>
      </c>
      <c r="C51" s="566"/>
      <c r="D51" s="26"/>
      <c r="E51" s="26"/>
      <c r="F51" s="26"/>
      <c r="G51" s="26"/>
      <c r="H51" s="26"/>
      <c r="I51" s="26"/>
      <c r="J51" s="26"/>
      <c r="K51" s="26"/>
      <c r="L51" s="26"/>
      <c r="M51" s="26"/>
    </row>
    <row r="53" spans="1:13" s="1" customFormat="1">
      <c r="B53" s="19" t="s">
        <v>1547</v>
      </c>
    </row>
    <row r="54" spans="1:13" s="20" customFormat="1">
      <c r="A54"/>
      <c r="B54" s="201" t="s">
        <v>1548</v>
      </c>
      <c r="C54" s="18"/>
      <c r="D54" s="18"/>
      <c r="E54" s="18"/>
      <c r="F54" s="18"/>
      <c r="H54" s="23"/>
      <c r="I54" s="23"/>
      <c r="J54" s="23"/>
    </row>
    <row r="56" spans="1:13">
      <c r="B56" s="233" t="s">
        <v>1547</v>
      </c>
      <c r="C56" s="335" t="s">
        <v>835</v>
      </c>
    </row>
    <row r="57" spans="1:13">
      <c r="B57" s="336" t="s">
        <v>1198</v>
      </c>
      <c r="C57" s="542"/>
    </row>
    <row r="58" spans="1:13" ht="27.6">
      <c r="B58" s="338" t="s">
        <v>1549</v>
      </c>
      <c r="C58" s="543">
        <v>3.75</v>
      </c>
    </row>
    <row r="59" spans="1:13">
      <c r="B59" s="338" t="s">
        <v>1550</v>
      </c>
      <c r="C59" s="543">
        <v>0</v>
      </c>
    </row>
    <row r="60" spans="1:13">
      <c r="B60" s="337" t="s">
        <v>1526</v>
      </c>
      <c r="C60" s="492"/>
    </row>
    <row r="61" spans="1:13" ht="27.6">
      <c r="B61" s="338" t="s">
        <v>1549</v>
      </c>
      <c r="C61" s="543">
        <v>1.59</v>
      </c>
    </row>
    <row r="62" spans="1:13">
      <c r="B62" s="338" t="s">
        <v>1550</v>
      </c>
      <c r="C62" s="543">
        <v>0</v>
      </c>
    </row>
    <row r="63" spans="1:13" ht="126.75" customHeight="1">
      <c r="B63" s="602" t="s">
        <v>1551</v>
      </c>
      <c r="C63" s="602"/>
      <c r="D63" s="54"/>
      <c r="E63" s="54"/>
      <c r="F63" s="54"/>
      <c r="G63" s="54"/>
      <c r="H63" s="54"/>
      <c r="I63" s="54"/>
      <c r="J63" s="54"/>
      <c r="K63" s="54"/>
      <c r="L63" s="54"/>
      <c r="M63" s="54"/>
    </row>
    <row r="65" spans="2:2" ht="23.4">
      <c r="B65" s="113"/>
    </row>
  </sheetData>
  <mergeCells count="7">
    <mergeCell ref="B51:C51"/>
    <mergeCell ref="B63:C63"/>
    <mergeCell ref="B2:H2"/>
    <mergeCell ref="B25:H25"/>
    <mergeCell ref="B6:K6"/>
    <mergeCell ref="B39:P39"/>
    <mergeCell ref="B3:L3"/>
  </mergeCells>
  <hyperlinks>
    <hyperlink ref="B7" r:id="rId1" xr:uid="{34CEE0CB-36F5-4344-8242-41EA1DE433A1}"/>
  </hyperlinks>
  <pageMargins left="0.7" right="0.7" top="0.75" bottom="0.75" header="0.3" footer="0.3"/>
  <pageSetup orientation="portrait" horizontalDpi="0" verticalDpi="0"/>
  <drawing r:id="rId2"/>
  <tableParts count="4">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8F28-BA72-4BC8-A8A9-45D0C3CE2133}">
  <dimension ref="A2:S157"/>
  <sheetViews>
    <sheetView showGridLines="0" zoomScale="80" zoomScaleNormal="80" workbookViewId="0">
      <selection activeCell="B157" sqref="B157:C157"/>
    </sheetView>
  </sheetViews>
  <sheetFormatPr defaultColWidth="8.88671875" defaultRowHeight="14.4"/>
  <cols>
    <col min="1" max="1" width="4.44140625" customWidth="1"/>
    <col min="2" max="17" width="25.6640625" customWidth="1"/>
  </cols>
  <sheetData>
    <row r="2" spans="1:19" ht="21">
      <c r="A2" s="19"/>
      <c r="B2" s="564" t="s">
        <v>1552</v>
      </c>
      <c r="C2" s="564"/>
      <c r="D2" s="564"/>
      <c r="E2" s="564"/>
      <c r="F2" s="564"/>
      <c r="G2" s="564"/>
      <c r="H2" s="564"/>
      <c r="I2" s="107"/>
    </row>
    <row r="3" spans="1:19">
      <c r="A3" s="308"/>
      <c r="B3" s="565" t="s">
        <v>1238</v>
      </c>
      <c r="C3" s="565"/>
      <c r="D3" s="565"/>
      <c r="E3" s="565"/>
      <c r="F3" s="565"/>
      <c r="G3" s="565"/>
      <c r="H3" s="565"/>
      <c r="I3" s="565"/>
      <c r="J3" s="565"/>
      <c r="K3" s="565"/>
      <c r="L3" s="565"/>
      <c r="M3" s="63"/>
    </row>
    <row r="5" spans="1:19" ht="18">
      <c r="B5" s="19" t="s">
        <v>1239</v>
      </c>
      <c r="C5" s="17"/>
      <c r="D5" s="17"/>
      <c r="E5" s="17"/>
    </row>
    <row r="6" spans="1:19" s="18" customFormat="1">
      <c r="A6" s="13"/>
      <c r="B6" s="652" t="s">
        <v>1553</v>
      </c>
      <c r="C6" s="652"/>
      <c r="D6" s="652"/>
      <c r="E6" s="652"/>
      <c r="F6" s="652"/>
      <c r="G6" s="652"/>
      <c r="H6" s="652"/>
      <c r="I6" s="652"/>
      <c r="J6" s="652"/>
      <c r="K6" s="652"/>
    </row>
    <row r="7" spans="1:19" s="37" customFormat="1" ht="13.8">
      <c r="B7" s="458" t="s">
        <v>1554</v>
      </c>
    </row>
    <row r="9" spans="1:19">
      <c r="B9" s="19" t="s">
        <v>97</v>
      </c>
    </row>
    <row r="10" spans="1:19" s="20" customFormat="1">
      <c r="A10"/>
      <c r="B10" s="22" t="s">
        <v>1555</v>
      </c>
      <c r="C10" s="22"/>
      <c r="D10" s="22"/>
      <c r="E10" s="22"/>
      <c r="F10" s="22"/>
      <c r="G10" s="22"/>
      <c r="H10" s="22"/>
      <c r="I10" s="22"/>
      <c r="J10" s="22"/>
      <c r="K10" s="22"/>
      <c r="L10" s="22"/>
      <c r="M10" s="22"/>
      <c r="N10" s="22"/>
      <c r="O10" s="22"/>
      <c r="P10" s="22"/>
      <c r="Q10" s="22"/>
      <c r="R10" s="22"/>
      <c r="S10" s="22"/>
    </row>
    <row r="11" spans="1:19" ht="15" thickBot="1">
      <c r="C11" s="4"/>
    </row>
    <row r="12" spans="1:19" s="71" customFormat="1">
      <c r="B12" s="310"/>
      <c r="C12" s="310"/>
      <c r="D12" s="645" t="s">
        <v>1556</v>
      </c>
      <c r="E12" s="646"/>
      <c r="F12" s="647"/>
      <c r="G12" s="645" t="s">
        <v>1557</v>
      </c>
      <c r="H12" s="646"/>
      <c r="I12" s="646"/>
      <c r="J12" s="646"/>
      <c r="K12" s="647"/>
    </row>
    <row r="13" spans="1:19" ht="27.6">
      <c r="B13" s="122" t="s">
        <v>1558</v>
      </c>
      <c r="C13" s="311" t="s">
        <v>805</v>
      </c>
      <c r="D13" s="312" t="s">
        <v>1559</v>
      </c>
      <c r="E13" s="72" t="s">
        <v>1560</v>
      </c>
      <c r="F13" s="313" t="s">
        <v>1561</v>
      </c>
      <c r="G13" s="312" t="s">
        <v>693</v>
      </c>
      <c r="H13" s="72" t="s">
        <v>701</v>
      </c>
      <c r="I13" s="72" t="s">
        <v>710</v>
      </c>
      <c r="J13" s="72" t="s">
        <v>713</v>
      </c>
      <c r="K13" s="313" t="s">
        <v>705</v>
      </c>
    </row>
    <row r="14" spans="1:19">
      <c r="B14" s="38" t="s">
        <v>1562</v>
      </c>
      <c r="C14" s="474">
        <v>5109</v>
      </c>
      <c r="D14" s="504">
        <v>4280</v>
      </c>
      <c r="E14" s="474">
        <v>816</v>
      </c>
      <c r="F14" s="501">
        <v>13</v>
      </c>
      <c r="G14" s="504">
        <v>1335</v>
      </c>
      <c r="H14" s="474">
        <v>345</v>
      </c>
      <c r="I14" s="495">
        <v>220</v>
      </c>
      <c r="J14" s="474">
        <v>1123</v>
      </c>
      <c r="K14" s="501">
        <v>2086</v>
      </c>
    </row>
    <row r="15" spans="1:19">
      <c r="B15" s="38" t="s">
        <v>1563</v>
      </c>
      <c r="C15" s="495">
        <v>110</v>
      </c>
      <c r="D15" s="504">
        <v>75</v>
      </c>
      <c r="E15" s="474">
        <v>34</v>
      </c>
      <c r="F15" s="501">
        <v>1</v>
      </c>
      <c r="G15" s="504">
        <v>30</v>
      </c>
      <c r="H15" s="474">
        <v>0</v>
      </c>
      <c r="I15" s="495">
        <v>1</v>
      </c>
      <c r="J15" s="474">
        <v>50</v>
      </c>
      <c r="K15" s="501">
        <v>29</v>
      </c>
      <c r="M15" s="4"/>
    </row>
    <row r="16" spans="1:19">
      <c r="B16" s="38" t="s">
        <v>1564</v>
      </c>
      <c r="C16" s="495">
        <v>0</v>
      </c>
      <c r="D16" s="504">
        <v>0</v>
      </c>
      <c r="E16" s="474">
        <v>0</v>
      </c>
      <c r="F16" s="501">
        <v>0</v>
      </c>
      <c r="G16" s="504">
        <v>0</v>
      </c>
      <c r="H16" s="474">
        <v>0</v>
      </c>
      <c r="I16" s="495">
        <v>0</v>
      </c>
      <c r="J16" s="474">
        <v>0</v>
      </c>
      <c r="K16" s="501">
        <v>0</v>
      </c>
    </row>
    <row r="17" spans="1:13">
      <c r="B17" s="38" t="s">
        <v>1565</v>
      </c>
      <c r="C17" s="474">
        <v>5219</v>
      </c>
      <c r="D17" s="504">
        <v>4355</v>
      </c>
      <c r="E17" s="474">
        <v>850</v>
      </c>
      <c r="F17" s="501">
        <v>14</v>
      </c>
      <c r="G17" s="504">
        <v>1365</v>
      </c>
      <c r="H17" s="474">
        <v>345</v>
      </c>
      <c r="I17" s="495">
        <v>221</v>
      </c>
      <c r="J17" s="474">
        <v>1173</v>
      </c>
      <c r="K17" s="501">
        <v>2115</v>
      </c>
    </row>
    <row r="18" spans="1:13" ht="15" thickBot="1">
      <c r="B18" s="315" t="s">
        <v>1566</v>
      </c>
      <c r="C18" s="496">
        <v>0</v>
      </c>
      <c r="D18" s="505">
        <v>0</v>
      </c>
      <c r="E18" s="502">
        <v>0</v>
      </c>
      <c r="F18" s="503">
        <v>0</v>
      </c>
      <c r="G18" s="505">
        <v>0</v>
      </c>
      <c r="H18" s="502">
        <v>0</v>
      </c>
      <c r="I18" s="496">
        <v>0</v>
      </c>
      <c r="J18" s="502">
        <v>0</v>
      </c>
      <c r="K18" s="503">
        <v>0</v>
      </c>
    </row>
    <row r="19" spans="1:13" ht="15.6" thickTop="1" thickBot="1">
      <c r="B19" s="314" t="s">
        <v>805</v>
      </c>
      <c r="C19" s="497">
        <f>C14+C15</f>
        <v>5219</v>
      </c>
      <c r="D19" s="498">
        <f t="shared" ref="D19:K19" si="0">D14+D15</f>
        <v>4355</v>
      </c>
      <c r="E19" s="499">
        <f t="shared" si="0"/>
        <v>850</v>
      </c>
      <c r="F19" s="500">
        <f t="shared" si="0"/>
        <v>14</v>
      </c>
      <c r="G19" s="498">
        <f t="shared" si="0"/>
        <v>1365</v>
      </c>
      <c r="H19" s="499">
        <f t="shared" si="0"/>
        <v>345</v>
      </c>
      <c r="I19" s="499">
        <f t="shared" si="0"/>
        <v>221</v>
      </c>
      <c r="J19" s="499">
        <f t="shared" si="0"/>
        <v>1173</v>
      </c>
      <c r="K19" s="500">
        <f t="shared" si="0"/>
        <v>2115</v>
      </c>
    </row>
    <row r="20" spans="1:13" ht="60.75" customHeight="1">
      <c r="B20" s="641" t="s">
        <v>1567</v>
      </c>
      <c r="C20" s="642"/>
      <c r="D20" s="643"/>
      <c r="E20" s="643"/>
      <c r="F20" s="643"/>
      <c r="G20" s="643"/>
      <c r="H20" s="643"/>
      <c r="I20" s="643"/>
      <c r="J20" s="643"/>
      <c r="K20" s="643"/>
    </row>
    <row r="21" spans="1:13" s="24" customFormat="1">
      <c r="E21" s="66"/>
    </row>
    <row r="22" spans="1:13" s="1" customFormat="1">
      <c r="B22" s="19" t="s">
        <v>99</v>
      </c>
    </row>
    <row r="23" spans="1:13" s="20" customFormat="1">
      <c r="A23" s="1"/>
      <c r="B23" s="18" t="s">
        <v>1568</v>
      </c>
      <c r="C23" s="18"/>
      <c r="D23" s="18"/>
      <c r="E23" s="18"/>
      <c r="F23" s="18"/>
      <c r="H23" s="23"/>
      <c r="I23" s="23"/>
      <c r="J23" s="23"/>
      <c r="K23" s="23"/>
      <c r="L23" s="23"/>
      <c r="M23" s="23"/>
    </row>
    <row r="25" spans="1:13" ht="27.6">
      <c r="B25" s="122" t="s">
        <v>1569</v>
      </c>
      <c r="C25" s="72" t="s">
        <v>1570</v>
      </c>
      <c r="D25" s="72" t="s">
        <v>1571</v>
      </c>
      <c r="E25" s="72" t="s">
        <v>1572</v>
      </c>
    </row>
    <row r="26" spans="1:13">
      <c r="B26" s="38" t="s">
        <v>744</v>
      </c>
      <c r="C26" s="294">
        <v>0.38219895287958117</v>
      </c>
      <c r="D26" s="294">
        <v>0.61256544502617805</v>
      </c>
      <c r="E26" s="294">
        <v>5.235602094240838E-3</v>
      </c>
    </row>
    <row r="27" spans="1:13">
      <c r="B27" s="38" t="s">
        <v>747</v>
      </c>
      <c r="C27" s="294">
        <v>0.30237154150197626</v>
      </c>
      <c r="D27" s="294">
        <v>0.69367588932806323</v>
      </c>
      <c r="E27" s="294">
        <v>3.952569169960474E-3</v>
      </c>
    </row>
    <row r="28" spans="1:13">
      <c r="B28" s="38" t="s">
        <v>750</v>
      </c>
      <c r="C28" s="294">
        <v>1</v>
      </c>
      <c r="D28" s="294">
        <v>0</v>
      </c>
      <c r="E28" s="294">
        <v>0</v>
      </c>
    </row>
    <row r="29" spans="1:13">
      <c r="B29" s="38" t="s">
        <v>703</v>
      </c>
      <c r="C29" s="294">
        <v>0.64583333333333337</v>
      </c>
      <c r="D29" s="294">
        <v>0.35416666666666669</v>
      </c>
      <c r="E29" s="294">
        <v>0</v>
      </c>
    </row>
    <row r="30" spans="1:13">
      <c r="B30" s="38" t="s">
        <v>755</v>
      </c>
      <c r="C30" s="294">
        <v>0.32126696832579188</v>
      </c>
      <c r="D30" s="294">
        <v>0.66063348416289591</v>
      </c>
      <c r="E30" s="294">
        <v>1.8099547511312219E-2</v>
      </c>
    </row>
    <row r="31" spans="1:13">
      <c r="B31" s="38" t="s">
        <v>761</v>
      </c>
      <c r="C31" s="294">
        <v>0.96073903002309469</v>
      </c>
      <c r="D31" s="294">
        <v>4.6189376443418013E-3</v>
      </c>
      <c r="E31" s="294">
        <v>3.4642032332563508E-2</v>
      </c>
    </row>
    <row r="32" spans="1:13">
      <c r="B32" s="38" t="s">
        <v>758</v>
      </c>
      <c r="C32" s="294">
        <v>0.961335676625659</v>
      </c>
      <c r="D32" s="294">
        <v>7.0298769771528994E-3</v>
      </c>
      <c r="E32" s="294">
        <v>3.163444639718805E-2</v>
      </c>
    </row>
    <row r="33" spans="2:5">
      <c r="B33" s="38" t="s">
        <v>765</v>
      </c>
      <c r="C33" s="294">
        <v>0.47091412742382271</v>
      </c>
      <c r="D33" s="294">
        <v>0.52354570637119113</v>
      </c>
      <c r="E33" s="294">
        <v>5.5401662049861496E-3</v>
      </c>
    </row>
    <row r="34" spans="2:5">
      <c r="B34" s="38" t="s">
        <v>768</v>
      </c>
      <c r="C34" s="294">
        <v>0.82085308056872042</v>
      </c>
      <c r="D34" s="294">
        <v>0.17914691943127961</v>
      </c>
      <c r="E34" s="294">
        <v>0</v>
      </c>
    </row>
    <row r="35" spans="2:5" ht="15" thickBot="1">
      <c r="B35" s="316" t="s">
        <v>770</v>
      </c>
      <c r="C35" s="506">
        <v>0.88596491228070173</v>
      </c>
      <c r="D35" s="506">
        <v>0.11403508771929824</v>
      </c>
      <c r="E35" s="506">
        <v>0</v>
      </c>
    </row>
    <row r="36" spans="2:5" ht="15" thickTop="1">
      <c r="B36" s="38" t="s">
        <v>835</v>
      </c>
      <c r="C36" s="507">
        <v>0.66851887334738458</v>
      </c>
      <c r="D36" s="507">
        <v>0.31576930446445678</v>
      </c>
      <c r="E36" s="507">
        <v>1.5711822188158652E-2</v>
      </c>
    </row>
    <row r="37" spans="2:5" ht="39" customHeight="1">
      <c r="B37" s="566" t="s">
        <v>1573</v>
      </c>
      <c r="C37" s="630"/>
      <c r="D37" s="630"/>
      <c r="E37" s="630"/>
    </row>
    <row r="39" spans="2:5" ht="56.25" customHeight="1">
      <c r="B39" s="122" t="s">
        <v>1574</v>
      </c>
      <c r="C39" s="72" t="s">
        <v>1575</v>
      </c>
      <c r="D39" s="72" t="s">
        <v>1576</v>
      </c>
    </row>
    <row r="40" spans="2:5">
      <c r="B40" s="38" t="s">
        <v>744</v>
      </c>
      <c r="C40" s="488">
        <v>0.79449999999999998</v>
      </c>
      <c r="D40" s="488">
        <v>0.2021</v>
      </c>
    </row>
    <row r="41" spans="2:5">
      <c r="B41" s="38" t="s">
        <v>747</v>
      </c>
      <c r="C41" s="488">
        <v>0.88</v>
      </c>
      <c r="D41" s="488">
        <v>0.1242</v>
      </c>
    </row>
    <row r="42" spans="2:5">
      <c r="B42" s="38" t="s">
        <v>750</v>
      </c>
      <c r="C42" s="488">
        <v>0.91790000000000005</v>
      </c>
      <c r="D42" s="488">
        <v>8.2100000000000006E-2</v>
      </c>
    </row>
    <row r="43" spans="2:5">
      <c r="B43" s="38" t="s">
        <v>703</v>
      </c>
      <c r="C43" s="488">
        <v>0.871</v>
      </c>
      <c r="D43" s="488">
        <v>0.129</v>
      </c>
    </row>
    <row r="44" spans="2:5">
      <c r="B44" s="38" t="s">
        <v>755</v>
      </c>
      <c r="C44" s="488">
        <v>0.59150000000000003</v>
      </c>
      <c r="D44" s="488">
        <v>0.40849999999999997</v>
      </c>
    </row>
    <row r="45" spans="2:5">
      <c r="B45" s="38" t="s">
        <v>761</v>
      </c>
      <c r="C45" s="488">
        <v>0.82210000000000005</v>
      </c>
      <c r="D45" s="488">
        <v>0.1779</v>
      </c>
    </row>
    <row r="46" spans="2:5">
      <c r="B46" s="38" t="s">
        <v>758</v>
      </c>
      <c r="C46" s="488">
        <v>0.89029999999999998</v>
      </c>
      <c r="D46" s="488">
        <v>0.10970000000000001</v>
      </c>
    </row>
    <row r="47" spans="2:5">
      <c r="B47" s="38" t="s">
        <v>765</v>
      </c>
      <c r="C47" s="488">
        <v>0.72940000000000005</v>
      </c>
      <c r="D47" s="488">
        <v>0.27060000000000001</v>
      </c>
    </row>
    <row r="48" spans="2:5">
      <c r="B48" s="38" t="s">
        <v>768</v>
      </c>
      <c r="C48" s="488">
        <v>0.87639999999999996</v>
      </c>
      <c r="D48" s="488">
        <v>0.1236</v>
      </c>
    </row>
    <row r="49" spans="1:19" ht="15" thickBot="1">
      <c r="B49" s="316" t="s">
        <v>770</v>
      </c>
      <c r="C49" s="508">
        <v>0.86729999999999996</v>
      </c>
      <c r="D49" s="508">
        <v>0.13270000000000001</v>
      </c>
    </row>
    <row r="50" spans="1:19" s="1" customFormat="1" ht="15" thickTop="1">
      <c r="B50" s="38" t="s">
        <v>835</v>
      </c>
      <c r="C50" s="509">
        <v>0.83889999999999998</v>
      </c>
      <c r="D50" s="509">
        <v>0.1605</v>
      </c>
    </row>
    <row r="51" spans="1:19" s="7" customFormat="1" ht="12">
      <c r="D51" s="8"/>
      <c r="E51" s="8"/>
      <c r="F51" s="8"/>
      <c r="G51" s="8"/>
      <c r="H51" s="8"/>
      <c r="I51" s="8"/>
      <c r="J51" s="8"/>
      <c r="K51" s="8"/>
      <c r="L51" s="8"/>
      <c r="M51" s="8"/>
      <c r="N51" s="9"/>
    </row>
    <row r="52" spans="1:19">
      <c r="B52" s="19" t="s">
        <v>100</v>
      </c>
    </row>
    <row r="53" spans="1:19" s="20" customFormat="1">
      <c r="A53"/>
      <c r="B53" s="22" t="s">
        <v>1577</v>
      </c>
      <c r="C53" s="22"/>
      <c r="D53" s="22"/>
      <c r="E53" s="22"/>
      <c r="F53" s="22"/>
      <c r="G53" s="22"/>
      <c r="H53" s="22"/>
      <c r="I53" s="22"/>
      <c r="J53" s="22"/>
      <c r="K53" s="22"/>
      <c r="L53" s="22"/>
      <c r="M53" s="22"/>
      <c r="N53" s="22"/>
      <c r="O53" s="22"/>
      <c r="P53" s="22"/>
      <c r="Q53" s="22"/>
      <c r="R53" s="22"/>
      <c r="S53" s="22"/>
    </row>
    <row r="54" spans="1:19" ht="15" thickBot="1"/>
    <row r="55" spans="1:19" s="1" customFormat="1" ht="15" thickBot="1">
      <c r="B55" s="38"/>
      <c r="C55" s="38"/>
      <c r="D55" s="645" t="s">
        <v>1556</v>
      </c>
      <c r="E55" s="647"/>
      <c r="F55" s="648" t="s">
        <v>1578</v>
      </c>
      <c r="G55" s="649"/>
      <c r="H55" s="650"/>
      <c r="I55"/>
    </row>
    <row r="56" spans="1:19" ht="30.75" customHeight="1">
      <c r="B56" s="329" t="s">
        <v>1579</v>
      </c>
      <c r="C56" s="72" t="s">
        <v>805</v>
      </c>
      <c r="D56" s="312" t="s">
        <v>1559</v>
      </c>
      <c r="E56" s="72" t="s">
        <v>1560</v>
      </c>
      <c r="F56" s="312" t="s">
        <v>1580</v>
      </c>
      <c r="G56" s="72" t="s">
        <v>1581</v>
      </c>
      <c r="H56" s="334" t="s">
        <v>1582</v>
      </c>
    </row>
    <row r="57" spans="1:19">
      <c r="B57" s="317" t="s">
        <v>1583</v>
      </c>
      <c r="C57" s="510">
        <v>6.5146579804560263E-3</v>
      </c>
      <c r="D57" s="511">
        <v>5.5566200421536694E-3</v>
      </c>
      <c r="E57" s="512">
        <v>9.5803793830235673E-4</v>
      </c>
      <c r="F57" s="511">
        <v>0</v>
      </c>
      <c r="G57" s="512">
        <v>1.5328607012837709E-3</v>
      </c>
      <c r="H57" s="513">
        <v>4.9817972791722552E-3</v>
      </c>
    </row>
    <row r="58" spans="1:19">
      <c r="B58" s="317" t="s">
        <v>1584</v>
      </c>
      <c r="C58" s="510">
        <v>4.2153669285303697E-3</v>
      </c>
      <c r="D58" s="511">
        <v>3.8321517532094269E-3</v>
      </c>
      <c r="E58" s="512">
        <v>3.8321517532094272E-4</v>
      </c>
      <c r="F58" s="511">
        <v>0</v>
      </c>
      <c r="G58" s="512">
        <v>1.9160758766047135E-3</v>
      </c>
      <c r="H58" s="513">
        <v>2.2992910519256562E-3</v>
      </c>
    </row>
    <row r="59" spans="1:19">
      <c r="B59" s="317" t="s">
        <v>1585</v>
      </c>
      <c r="C59" s="510">
        <v>1.4945391837516765E-2</v>
      </c>
      <c r="D59" s="511">
        <v>1.3412531136232995E-2</v>
      </c>
      <c r="E59" s="512">
        <v>1.5328607012837709E-3</v>
      </c>
      <c r="F59" s="511">
        <v>9.5803793830235673E-4</v>
      </c>
      <c r="G59" s="512">
        <v>1.0538417321325924E-2</v>
      </c>
      <c r="H59" s="513">
        <v>3.4489365778884846E-3</v>
      </c>
    </row>
    <row r="60" spans="1:19">
      <c r="B60" s="317" t="s">
        <v>1586</v>
      </c>
      <c r="C60" s="510">
        <v>4.771028932745737E-2</v>
      </c>
      <c r="D60" s="511">
        <v>3.7363479593791916E-2</v>
      </c>
      <c r="E60" s="512">
        <v>1.0155202146004981E-2</v>
      </c>
      <c r="F60" s="511">
        <v>5.7482276298141406E-4</v>
      </c>
      <c r="G60" s="512">
        <v>3.3531327840582485E-2</v>
      </c>
      <c r="H60" s="513">
        <v>1.3412531136232995E-2</v>
      </c>
    </row>
    <row r="61" spans="1:19">
      <c r="B61" s="317" t="s">
        <v>1587</v>
      </c>
      <c r="C61" s="510">
        <v>7.1852845372676763E-2</v>
      </c>
      <c r="D61" s="511">
        <v>6.4763364629239317E-2</v>
      </c>
      <c r="E61" s="512">
        <v>6.8978731557769691E-3</v>
      </c>
      <c r="F61" s="511">
        <v>3.4489365778884846E-3</v>
      </c>
      <c r="G61" s="512">
        <v>5.0392795554703967E-2</v>
      </c>
      <c r="H61" s="513">
        <v>1.7627898064763364E-2</v>
      </c>
    </row>
    <row r="62" spans="1:19">
      <c r="B62" s="317" t="s">
        <v>1588</v>
      </c>
      <c r="C62" s="510">
        <v>0.32688254454876414</v>
      </c>
      <c r="D62" s="511">
        <v>0.23625215558536117</v>
      </c>
      <c r="E62" s="512">
        <v>8.96723510251006E-2</v>
      </c>
      <c r="F62" s="511">
        <v>6.1506035639011303E-2</v>
      </c>
      <c r="G62" s="512">
        <v>0.21651657405633262</v>
      </c>
      <c r="H62" s="513">
        <v>4.771028932745737E-2</v>
      </c>
    </row>
    <row r="63" spans="1:19" ht="15" thickBot="1">
      <c r="B63" s="317" t="s">
        <v>1589</v>
      </c>
      <c r="C63" s="510">
        <v>0.52308871431308679</v>
      </c>
      <c r="D63" s="514">
        <v>0.46943858976815483</v>
      </c>
      <c r="E63" s="515">
        <v>5.2692086606629621E-2</v>
      </c>
      <c r="F63" s="514">
        <v>8.7756275148495877E-2</v>
      </c>
      <c r="G63" s="515">
        <v>0.3270741521364246</v>
      </c>
      <c r="H63" s="516">
        <v>0.10768346426518489</v>
      </c>
    </row>
    <row r="64" spans="1:19" ht="123" customHeight="1">
      <c r="A64" s="309"/>
      <c r="B64" s="602" t="s">
        <v>1590</v>
      </c>
      <c r="C64" s="644"/>
      <c r="D64" s="644"/>
      <c r="E64" s="644"/>
      <c r="F64" s="644"/>
      <c r="G64" s="644"/>
      <c r="H64" s="644"/>
    </row>
    <row r="65" spans="1:19" ht="13.5" customHeight="1">
      <c r="C65" s="2"/>
      <c r="D65" s="25"/>
      <c r="E65" s="25"/>
      <c r="F65" s="25"/>
      <c r="G65" s="25"/>
      <c r="H65" s="25"/>
    </row>
    <row r="66" spans="1:19">
      <c r="B66" s="19" t="s">
        <v>102</v>
      </c>
    </row>
    <row r="67" spans="1:19" s="20" customFormat="1">
      <c r="A67"/>
      <c r="B67" s="22" t="s">
        <v>1591</v>
      </c>
      <c r="C67" s="22"/>
      <c r="D67" s="22"/>
      <c r="E67" s="22"/>
      <c r="F67" s="22"/>
      <c r="G67" s="22"/>
      <c r="H67" s="22"/>
      <c r="I67" s="22"/>
      <c r="J67" s="22"/>
      <c r="K67" s="22"/>
      <c r="L67" s="22"/>
      <c r="M67" s="22"/>
      <c r="N67" s="22"/>
      <c r="O67" s="22"/>
      <c r="P67" s="22"/>
      <c r="Q67" s="22"/>
      <c r="R67" s="22"/>
      <c r="S67" s="22"/>
    </row>
    <row r="69" spans="1:19" s="37" customFormat="1" ht="27.6">
      <c r="B69" s="329" t="s">
        <v>1592</v>
      </c>
      <c r="C69" s="329" t="s">
        <v>1593</v>
      </c>
      <c r="D69" s="329" t="s">
        <v>1594</v>
      </c>
    </row>
    <row r="70" spans="1:19" s="38" customFormat="1" ht="13.8">
      <c r="B70" s="327" t="s">
        <v>805</v>
      </c>
      <c r="C70" s="517">
        <v>1228</v>
      </c>
      <c r="D70" s="518">
        <v>0.26619282267702571</v>
      </c>
    </row>
    <row r="71" spans="1:19" s="37" customFormat="1" ht="13.8">
      <c r="B71" s="327" t="s">
        <v>1578</v>
      </c>
      <c r="C71" s="519"/>
      <c r="D71" s="520"/>
    </row>
    <row r="72" spans="1:19" s="37" customFormat="1" ht="13.8">
      <c r="B72" s="330" t="s">
        <v>1595</v>
      </c>
      <c r="C72" s="520">
        <v>336</v>
      </c>
      <c r="D72" s="519">
        <v>7.2834518256906053E-2</v>
      </c>
    </row>
    <row r="73" spans="1:19" s="37" customFormat="1" ht="13.8">
      <c r="B73" s="330" t="s">
        <v>1596</v>
      </c>
      <c r="C73" s="520">
        <v>661</v>
      </c>
      <c r="D73" s="519">
        <v>0.14328457311849674</v>
      </c>
    </row>
    <row r="74" spans="1:19" s="37" customFormat="1" ht="13.8">
      <c r="B74" s="330" t="s">
        <v>1597</v>
      </c>
      <c r="C74" s="520">
        <v>225</v>
      </c>
      <c r="D74" s="519">
        <v>4.8773114904178162E-2</v>
      </c>
    </row>
    <row r="75" spans="1:19" s="37" customFormat="1" ht="13.8">
      <c r="B75" s="330" t="s">
        <v>1598</v>
      </c>
      <c r="C75" s="520">
        <v>6</v>
      </c>
      <c r="D75" s="519">
        <v>1.3006163974447508E-3</v>
      </c>
    </row>
    <row r="76" spans="1:19" s="37" customFormat="1" ht="13.8">
      <c r="B76" s="327" t="s">
        <v>1556</v>
      </c>
      <c r="C76" s="520"/>
      <c r="D76" s="520"/>
    </row>
    <row r="77" spans="1:19" s="37" customFormat="1" ht="13.8">
      <c r="B77" s="331" t="s">
        <v>1559</v>
      </c>
      <c r="C77" s="520">
        <v>953</v>
      </c>
      <c r="D77" s="519">
        <v>0.20658123779414128</v>
      </c>
    </row>
    <row r="78" spans="1:19" s="37" customFormat="1" ht="13.8">
      <c r="B78" s="331" t="s">
        <v>1560</v>
      </c>
      <c r="C78" s="520">
        <v>268</v>
      </c>
      <c r="D78" s="519">
        <v>5.8094199085865543E-2</v>
      </c>
    </row>
    <row r="79" spans="1:19" s="37" customFormat="1" ht="13.8">
      <c r="B79" s="331" t="s">
        <v>1599</v>
      </c>
      <c r="C79" s="520">
        <v>7</v>
      </c>
      <c r="D79" s="519">
        <v>1.517385797018876E-3</v>
      </c>
    </row>
    <row r="80" spans="1:19" s="37" customFormat="1" ht="13.8">
      <c r="B80" s="327" t="s">
        <v>1557</v>
      </c>
      <c r="C80" s="520"/>
      <c r="D80" s="520"/>
    </row>
    <row r="81" spans="2:4" s="37" customFormat="1" ht="13.8">
      <c r="B81" s="330" t="s">
        <v>693</v>
      </c>
      <c r="C81" s="520">
        <v>642</v>
      </c>
      <c r="D81" s="519">
        <v>0.62139356826739278</v>
      </c>
    </row>
    <row r="82" spans="2:4" s="37" customFormat="1" ht="13.8">
      <c r="B82" s="330" t="s">
        <v>701</v>
      </c>
      <c r="C82" s="520">
        <v>46</v>
      </c>
      <c r="D82" s="519">
        <v>0.14084388896473893</v>
      </c>
    </row>
    <row r="83" spans="2:4" s="37" customFormat="1" ht="13.8">
      <c r="B83" s="330" t="s">
        <v>710</v>
      </c>
      <c r="C83" s="520">
        <v>8</v>
      </c>
      <c r="D83" s="519">
        <v>3.6788792016148139E-2</v>
      </c>
    </row>
    <row r="84" spans="2:4" s="37" customFormat="1" ht="13.8">
      <c r="B84" s="330" t="s">
        <v>713</v>
      </c>
      <c r="C84" s="520">
        <v>97</v>
      </c>
      <c r="D84" s="519">
        <v>8.746813055052903E-2</v>
      </c>
    </row>
    <row r="85" spans="2:4" s="37" customFormat="1" ht="13.8">
      <c r="B85" s="332" t="s">
        <v>705</v>
      </c>
      <c r="C85" s="521">
        <v>435</v>
      </c>
      <c r="D85" s="522">
        <v>0.22573949142306632</v>
      </c>
    </row>
    <row r="86" spans="2:4" s="37" customFormat="1" ht="13.8">
      <c r="B86" s="651" t="s">
        <v>1600</v>
      </c>
      <c r="C86" s="651"/>
      <c r="D86" s="651"/>
    </row>
    <row r="87" spans="2:4" s="37" customFormat="1" ht="13.8"/>
    <row r="88" spans="2:4" s="37" customFormat="1" ht="13.8">
      <c r="B88" s="329" t="s">
        <v>1601</v>
      </c>
      <c r="C88" s="329" t="s">
        <v>1602</v>
      </c>
      <c r="D88" s="329" t="s">
        <v>1603</v>
      </c>
    </row>
    <row r="89" spans="2:4" s="38" customFormat="1" ht="13.8">
      <c r="B89" s="327" t="s">
        <v>805</v>
      </c>
      <c r="C89" s="517">
        <v>1357</v>
      </c>
      <c r="D89" s="294">
        <v>0.29415607522208781</v>
      </c>
    </row>
    <row r="90" spans="2:4" s="37" customFormat="1" ht="13.8">
      <c r="B90" s="327" t="s">
        <v>1578</v>
      </c>
      <c r="C90" s="519"/>
      <c r="D90" s="520"/>
    </row>
    <row r="91" spans="2:4" s="37" customFormat="1" ht="13.8">
      <c r="B91" s="330" t="s">
        <v>1595</v>
      </c>
      <c r="C91" s="520">
        <v>285</v>
      </c>
      <c r="D91" s="519">
        <v>6.1779278878625665E-2</v>
      </c>
    </row>
    <row r="92" spans="2:4" s="37" customFormat="1" ht="13.8">
      <c r="B92" s="330" t="s">
        <v>1596</v>
      </c>
      <c r="C92" s="520">
        <v>872</v>
      </c>
      <c r="D92" s="519">
        <v>0.18902291642863714</v>
      </c>
    </row>
    <row r="93" spans="2:4" s="37" customFormat="1" ht="13.8">
      <c r="B93" s="330" t="s">
        <v>1597</v>
      </c>
      <c r="C93" s="520">
        <v>199</v>
      </c>
      <c r="D93" s="519">
        <v>4.3137110515250904E-2</v>
      </c>
    </row>
    <row r="94" spans="2:4" s="37" customFormat="1" ht="13.8">
      <c r="B94" s="330" t="s">
        <v>1598</v>
      </c>
      <c r="C94" s="520">
        <v>1</v>
      </c>
      <c r="D94" s="519">
        <v>2.1676939957412515E-4</v>
      </c>
    </row>
    <row r="95" spans="2:4" s="37" customFormat="1" ht="13.8">
      <c r="B95" s="327" t="s">
        <v>1556</v>
      </c>
      <c r="C95" s="520"/>
      <c r="D95" s="520"/>
    </row>
    <row r="96" spans="2:4" s="37" customFormat="1" ht="13.8">
      <c r="B96" s="331" t="s">
        <v>1559</v>
      </c>
      <c r="C96" s="520">
        <v>1106</v>
      </c>
      <c r="D96" s="519">
        <v>0.23974695592898243</v>
      </c>
    </row>
    <row r="97" spans="1:19" s="37" customFormat="1" ht="13.8">
      <c r="B97" s="331" t="s">
        <v>1560</v>
      </c>
      <c r="C97" s="520">
        <v>250</v>
      </c>
      <c r="D97" s="519">
        <v>5.4192349893531291E-2</v>
      </c>
    </row>
    <row r="98" spans="1:19" s="37" customFormat="1" ht="13.8">
      <c r="B98" s="331" t="s">
        <v>1599</v>
      </c>
      <c r="C98" s="520">
        <v>1</v>
      </c>
      <c r="D98" s="519">
        <v>2.1676939957412515E-4</v>
      </c>
    </row>
    <row r="99" spans="1:19" s="37" customFormat="1" ht="13.8">
      <c r="B99" s="327" t="s">
        <v>1557</v>
      </c>
      <c r="C99" s="520"/>
      <c r="D99" s="520"/>
    </row>
    <row r="100" spans="1:19" s="37" customFormat="1" ht="13.8">
      <c r="B100" s="330" t="s">
        <v>693</v>
      </c>
      <c r="C100" s="520">
        <v>140</v>
      </c>
      <c r="D100" s="519">
        <v>0.1355063856034813</v>
      </c>
    </row>
    <row r="101" spans="1:19" s="37" customFormat="1" ht="13.8">
      <c r="B101" s="330" t="s">
        <v>701</v>
      </c>
      <c r="C101" s="520">
        <v>37</v>
      </c>
      <c r="D101" s="519">
        <v>0.11328747590642044</v>
      </c>
    </row>
    <row r="102" spans="1:19" s="37" customFormat="1" ht="13.8">
      <c r="B102" s="330" t="s">
        <v>710</v>
      </c>
      <c r="C102" s="520">
        <v>801</v>
      </c>
      <c r="D102" s="519">
        <v>3.6834778006168327</v>
      </c>
    </row>
    <row r="103" spans="1:19" s="37" customFormat="1" ht="13.8">
      <c r="B103" s="330" t="s">
        <v>713</v>
      </c>
      <c r="C103" s="520">
        <v>56</v>
      </c>
      <c r="D103" s="519">
        <v>5.0497065060099239E-2</v>
      </c>
    </row>
    <row r="104" spans="1:19" s="37" customFormat="1" ht="13.8">
      <c r="B104" s="332" t="s">
        <v>705</v>
      </c>
      <c r="C104" s="521">
        <v>323</v>
      </c>
      <c r="D104" s="522">
        <v>0.16761805914862166</v>
      </c>
    </row>
    <row r="105" spans="1:19" s="37" customFormat="1" ht="13.8">
      <c r="B105" s="328" t="s">
        <v>1604</v>
      </c>
      <c r="C105" s="520"/>
      <c r="D105" s="519"/>
    </row>
    <row r="106" spans="1:19" s="37" customFormat="1" ht="13.8">
      <c r="B106" s="330" t="s">
        <v>1605</v>
      </c>
      <c r="C106" s="520">
        <v>331</v>
      </c>
      <c r="D106" s="519">
        <v>7.1317132459887175E-2</v>
      </c>
    </row>
    <row r="107" spans="1:19" s="37" customFormat="1" ht="13.8">
      <c r="B107" s="332" t="s">
        <v>1606</v>
      </c>
      <c r="C107" s="521">
        <v>1026</v>
      </c>
      <c r="D107" s="522">
        <v>0.22240540396305242</v>
      </c>
    </row>
    <row r="108" spans="1:19" s="37" customFormat="1" ht="13.8"/>
    <row r="109" spans="1:19">
      <c r="B109" s="19" t="s">
        <v>104</v>
      </c>
    </row>
    <row r="110" spans="1:19" s="20" customFormat="1">
      <c r="A110"/>
      <c r="B110" s="22" t="s">
        <v>1607</v>
      </c>
      <c r="C110" s="22"/>
      <c r="D110" s="22"/>
      <c r="E110" s="22"/>
      <c r="F110" s="22"/>
      <c r="G110" s="22"/>
      <c r="H110" s="22"/>
      <c r="I110" s="22"/>
      <c r="J110" s="22"/>
      <c r="K110" s="22"/>
      <c r="L110" s="22"/>
      <c r="M110" s="22"/>
      <c r="N110" s="22"/>
      <c r="O110" s="22"/>
      <c r="P110" s="22"/>
      <c r="Q110" s="22"/>
      <c r="R110" s="22"/>
      <c r="S110" s="22"/>
    </row>
    <row r="112" spans="1:19">
      <c r="B112" s="216" t="s">
        <v>1608</v>
      </c>
      <c r="C112" s="216" t="s">
        <v>1559</v>
      </c>
      <c r="D112" s="216" t="s">
        <v>1560</v>
      </c>
      <c r="E112" s="216" t="s">
        <v>1599</v>
      </c>
      <c r="F112" s="216" t="s">
        <v>805</v>
      </c>
    </row>
    <row r="113" spans="1:19" ht="27.6">
      <c r="B113" s="230" t="s">
        <v>1609</v>
      </c>
      <c r="C113" s="523">
        <v>4355</v>
      </c>
      <c r="D113" s="492">
        <v>850</v>
      </c>
      <c r="E113" s="492">
        <v>14</v>
      </c>
      <c r="F113" s="523">
        <v>5219</v>
      </c>
    </row>
    <row r="114" spans="1:19" ht="27.6">
      <c r="B114" s="230" t="s">
        <v>1610</v>
      </c>
      <c r="C114" s="492">
        <v>7</v>
      </c>
      <c r="D114" s="492">
        <v>11</v>
      </c>
      <c r="E114" s="492">
        <v>0</v>
      </c>
      <c r="F114" s="492">
        <v>18</v>
      </c>
    </row>
    <row r="115" spans="1:19" ht="41.4">
      <c r="B115" s="230" t="s">
        <v>1611</v>
      </c>
      <c r="C115" s="492">
        <v>8</v>
      </c>
      <c r="D115" s="492">
        <v>7</v>
      </c>
      <c r="E115" s="492">
        <v>0</v>
      </c>
      <c r="F115" s="492">
        <v>15</v>
      </c>
    </row>
    <row r="116" spans="1:19">
      <c r="B116" s="230" t="s">
        <v>1612</v>
      </c>
      <c r="C116" s="524">
        <v>1</v>
      </c>
      <c r="D116" s="524">
        <v>0.63636363636363635</v>
      </c>
      <c r="E116" s="524">
        <v>0</v>
      </c>
      <c r="F116" s="525">
        <v>0.83</v>
      </c>
    </row>
    <row r="118" spans="1:19">
      <c r="B118" s="19" t="s">
        <v>1613</v>
      </c>
    </row>
    <row r="119" spans="1:19" s="20" customFormat="1">
      <c r="A119"/>
      <c r="B119" s="22" t="s">
        <v>1614</v>
      </c>
      <c r="C119" s="22"/>
      <c r="D119" s="22"/>
      <c r="E119" s="22"/>
      <c r="F119" s="22"/>
      <c r="G119" s="22"/>
      <c r="H119" s="22"/>
      <c r="I119" s="22"/>
      <c r="J119" s="22"/>
      <c r="K119" s="22"/>
      <c r="L119" s="22"/>
      <c r="M119" s="22"/>
      <c r="N119" s="22"/>
      <c r="O119" s="22"/>
      <c r="P119" s="22"/>
      <c r="Q119" s="22"/>
      <c r="R119" s="22"/>
      <c r="S119" s="22"/>
    </row>
    <row r="121" spans="1:19" s="3" customFormat="1" ht="41.4">
      <c r="B121" s="223" t="s">
        <v>1615</v>
      </c>
      <c r="C121" s="318" t="s">
        <v>694</v>
      </c>
      <c r="D121" s="318" t="s">
        <v>744</v>
      </c>
      <c r="E121" s="318" t="s">
        <v>747</v>
      </c>
      <c r="F121" s="318" t="s">
        <v>750</v>
      </c>
      <c r="G121" s="318" t="s">
        <v>703</v>
      </c>
      <c r="H121" s="318" t="s">
        <v>755</v>
      </c>
      <c r="I121" s="318" t="s">
        <v>714</v>
      </c>
      <c r="J121" s="318" t="s">
        <v>761</v>
      </c>
      <c r="K121" s="318" t="s">
        <v>758</v>
      </c>
      <c r="L121" s="319" t="s">
        <v>706</v>
      </c>
      <c r="M121" s="318" t="s">
        <v>765</v>
      </c>
      <c r="N121" s="318" t="s">
        <v>768</v>
      </c>
      <c r="O121" s="318" t="s">
        <v>770</v>
      </c>
      <c r="P121" s="320" t="s">
        <v>835</v>
      </c>
    </row>
    <row r="122" spans="1:19">
      <c r="B122" s="317" t="s">
        <v>1616</v>
      </c>
      <c r="C122" s="526">
        <v>0.70741375890349179</v>
      </c>
      <c r="D122" s="527">
        <v>0.87123619878225755</v>
      </c>
      <c r="E122" s="526">
        <v>0.94405024203681764</v>
      </c>
      <c r="F122" s="526">
        <v>0.81823900453570919</v>
      </c>
      <c r="G122" s="526">
        <v>0.59962081402439449</v>
      </c>
      <c r="H122" s="526">
        <v>0.67310934541536627</v>
      </c>
      <c r="I122" s="526">
        <v>0.7751257112650729</v>
      </c>
      <c r="J122" s="526">
        <v>0.66220230450129092</v>
      </c>
      <c r="K122" s="526">
        <v>0.89161159681662538</v>
      </c>
      <c r="L122" s="526">
        <v>0.70220602056135095</v>
      </c>
      <c r="M122" s="526">
        <v>0.68827211417498724</v>
      </c>
      <c r="N122" s="526">
        <v>0.98380000019818126</v>
      </c>
      <c r="O122" s="526">
        <v>0.88060998007638391</v>
      </c>
      <c r="P122" s="526">
        <v>0.86805027410112034</v>
      </c>
    </row>
    <row r="123" spans="1:19">
      <c r="B123" s="602" t="s">
        <v>1617</v>
      </c>
      <c r="C123" s="602"/>
      <c r="D123" s="602"/>
      <c r="E123" s="602"/>
      <c r="F123" s="602"/>
      <c r="G123" s="602"/>
      <c r="H123" s="602"/>
      <c r="I123" s="602"/>
      <c r="J123" s="602"/>
      <c r="K123" s="602"/>
      <c r="L123" s="602"/>
      <c r="M123" s="602"/>
      <c r="N123" s="602"/>
      <c r="O123" s="602"/>
      <c r="P123" s="602"/>
    </row>
    <row r="124" spans="1:19">
      <c r="B124" s="50"/>
      <c r="C124" s="50"/>
      <c r="D124" s="50"/>
      <c r="E124" s="50"/>
      <c r="F124" s="50"/>
      <c r="G124" s="50"/>
      <c r="H124" s="50"/>
      <c r="I124" s="50"/>
      <c r="J124" s="50"/>
      <c r="K124" s="50"/>
      <c r="L124" s="50"/>
      <c r="M124" s="50"/>
      <c r="N124" s="50"/>
      <c r="O124" s="50"/>
      <c r="P124" s="50"/>
    </row>
    <row r="125" spans="1:19">
      <c r="B125" s="19" t="s">
        <v>108</v>
      </c>
    </row>
    <row r="126" spans="1:19" s="20" customFormat="1">
      <c r="A126"/>
      <c r="B126" s="22" t="s">
        <v>1618</v>
      </c>
      <c r="C126" s="22"/>
      <c r="D126" s="22"/>
      <c r="E126" s="22"/>
      <c r="F126" s="22"/>
      <c r="G126" s="22"/>
      <c r="H126" s="22"/>
      <c r="I126" s="22"/>
      <c r="J126" s="22"/>
      <c r="K126" s="22"/>
      <c r="L126" s="22"/>
      <c r="M126" s="22"/>
      <c r="N126" s="22"/>
      <c r="O126" s="22"/>
      <c r="P126" s="22"/>
      <c r="Q126" s="22"/>
      <c r="R126" s="22"/>
      <c r="S126" s="22"/>
    </row>
    <row r="128" spans="1:19" s="43" customFormat="1" ht="41.4">
      <c r="B128" s="223" t="s">
        <v>1619</v>
      </c>
      <c r="C128" s="321" t="s">
        <v>694</v>
      </c>
      <c r="D128" s="321" t="s">
        <v>744</v>
      </c>
      <c r="E128" s="321" t="s">
        <v>747</v>
      </c>
      <c r="F128" s="322" t="s">
        <v>750</v>
      </c>
      <c r="G128" s="322" t="s">
        <v>703</v>
      </c>
      <c r="H128" s="321" t="s">
        <v>755</v>
      </c>
      <c r="I128" s="322" t="s">
        <v>714</v>
      </c>
      <c r="J128" s="322" t="s">
        <v>761</v>
      </c>
      <c r="K128" s="322" t="s">
        <v>758</v>
      </c>
      <c r="L128" s="323" t="s">
        <v>706</v>
      </c>
      <c r="M128" s="321" t="s">
        <v>765</v>
      </c>
      <c r="N128" s="321" t="s">
        <v>768</v>
      </c>
      <c r="O128" s="321" t="s">
        <v>770</v>
      </c>
      <c r="P128" s="324" t="s">
        <v>835</v>
      </c>
    </row>
    <row r="129" spans="1:19" ht="43.5" customHeight="1">
      <c r="B129" s="129" t="s">
        <v>1620</v>
      </c>
      <c r="C129" s="528">
        <v>0</v>
      </c>
      <c r="D129" s="528">
        <v>0</v>
      </c>
      <c r="E129" s="528">
        <v>0</v>
      </c>
      <c r="F129" s="528">
        <v>0</v>
      </c>
      <c r="G129" s="528">
        <v>0</v>
      </c>
      <c r="H129" s="528">
        <v>0.30316742081447962</v>
      </c>
      <c r="I129" s="528">
        <v>0</v>
      </c>
      <c r="J129" s="528">
        <v>0.72979214780600465</v>
      </c>
      <c r="K129" s="528">
        <v>0.82249560632688923</v>
      </c>
      <c r="L129" s="528">
        <v>1</v>
      </c>
      <c r="M129" s="528">
        <v>1</v>
      </c>
      <c r="N129" s="528">
        <v>0.98009478672985784</v>
      </c>
      <c r="O129" s="528">
        <v>0.97297297297297303</v>
      </c>
      <c r="P129" s="528">
        <v>0.56428434566008812</v>
      </c>
    </row>
    <row r="130" spans="1:19" ht="55.2">
      <c r="B130" s="230" t="s">
        <v>1621</v>
      </c>
      <c r="C130" s="529" t="s">
        <v>1259</v>
      </c>
      <c r="D130" s="529" t="s">
        <v>1259</v>
      </c>
      <c r="E130" s="529" t="s">
        <v>1259</v>
      </c>
      <c r="F130" s="529" t="s">
        <v>1259</v>
      </c>
      <c r="G130" s="529" t="s">
        <v>1259</v>
      </c>
      <c r="H130" s="528" t="s">
        <v>1259</v>
      </c>
      <c r="I130" s="529" t="s">
        <v>1259</v>
      </c>
      <c r="J130" s="529" t="s">
        <v>1259</v>
      </c>
      <c r="K130" s="529" t="s">
        <v>1259</v>
      </c>
      <c r="L130" s="529" t="s">
        <v>1259</v>
      </c>
      <c r="M130" s="528" t="s">
        <v>1259</v>
      </c>
      <c r="N130" s="528" t="s">
        <v>1259</v>
      </c>
      <c r="O130" s="528" t="s">
        <v>1259</v>
      </c>
      <c r="P130" s="530"/>
    </row>
    <row r="132" spans="1:19">
      <c r="B132" s="19" t="s">
        <v>110</v>
      </c>
    </row>
    <row r="133" spans="1:19" s="20" customFormat="1">
      <c r="A133"/>
      <c r="B133" s="22" t="s">
        <v>1622</v>
      </c>
      <c r="C133" s="22"/>
      <c r="D133" s="22"/>
      <c r="E133" s="22"/>
      <c r="F133" s="22"/>
      <c r="G133" s="22"/>
      <c r="H133" s="22"/>
      <c r="I133" s="22"/>
      <c r="J133" s="22"/>
      <c r="K133" s="22"/>
      <c r="L133" s="22"/>
      <c r="M133" s="22"/>
      <c r="N133" s="22"/>
      <c r="O133" s="22"/>
      <c r="P133" s="22"/>
      <c r="Q133" s="22"/>
      <c r="R133" s="22"/>
      <c r="S133" s="22"/>
    </row>
    <row r="134" spans="1:19">
      <c r="B134" s="3"/>
      <c r="C134" s="3"/>
      <c r="D134" s="3"/>
      <c r="E134" s="3"/>
      <c r="F134" s="3"/>
      <c r="G134" s="3"/>
      <c r="H134" s="3"/>
      <c r="I134" s="3"/>
      <c r="J134" s="3"/>
      <c r="K134" s="3"/>
      <c r="L134" s="3"/>
      <c r="M134" s="3"/>
      <c r="N134" s="3"/>
      <c r="O134" s="3"/>
      <c r="P134" s="3"/>
      <c r="Q134" s="3"/>
      <c r="R134" s="3"/>
      <c r="S134" s="3"/>
    </row>
    <row r="135" spans="1:19">
      <c r="B135" s="216" t="s">
        <v>1623</v>
      </c>
      <c r="C135" s="228" t="s">
        <v>693</v>
      </c>
      <c r="D135" s="228" t="s">
        <v>701</v>
      </c>
      <c r="E135" s="228" t="s">
        <v>710</v>
      </c>
      <c r="F135" s="228" t="s">
        <v>713</v>
      </c>
      <c r="G135" s="228" t="s">
        <v>705</v>
      </c>
      <c r="H135" s="216" t="s">
        <v>835</v>
      </c>
      <c r="I135" s="216" t="s">
        <v>1352</v>
      </c>
    </row>
    <row r="136" spans="1:19">
      <c r="B136" s="38" t="s">
        <v>1624</v>
      </c>
      <c r="C136" s="531">
        <v>1365</v>
      </c>
      <c r="D136" s="531">
        <v>345</v>
      </c>
      <c r="E136" s="531">
        <v>221</v>
      </c>
      <c r="F136" s="531">
        <v>1173</v>
      </c>
      <c r="G136" s="531">
        <v>2115</v>
      </c>
      <c r="H136" s="531">
        <v>5219</v>
      </c>
      <c r="I136" s="532">
        <v>0.39649016181721491</v>
      </c>
    </row>
    <row r="137" spans="1:19">
      <c r="B137" s="38" t="s">
        <v>1625</v>
      </c>
      <c r="C137" s="531">
        <v>920</v>
      </c>
      <c r="D137" s="531">
        <v>29</v>
      </c>
      <c r="E137" s="531">
        <v>252</v>
      </c>
      <c r="F137" s="531">
        <v>2647</v>
      </c>
      <c r="G137" s="531">
        <v>4096</v>
      </c>
      <c r="H137" s="531">
        <v>7944</v>
      </c>
      <c r="I137" s="532">
        <v>0.60350983818278503</v>
      </c>
    </row>
    <row r="138" spans="1:19">
      <c r="B138" s="37" t="s">
        <v>805</v>
      </c>
      <c r="C138" s="531">
        <f>SUBTOTAL(109,Table6[Canada])</f>
        <v>2285</v>
      </c>
      <c r="D138" s="531">
        <f>SUBTOTAL(109,Table6[United States])</f>
        <v>374</v>
      </c>
      <c r="E138" s="531">
        <f>SUBTOTAL(109,Table6[Mexico])</f>
        <v>473</v>
      </c>
      <c r="F138" s="531">
        <f>SUBTOTAL(109,Table6[Nicaragua])</f>
        <v>3820</v>
      </c>
      <c r="G138" s="531">
        <f>SUBTOTAL(109,Table6[Brazil])</f>
        <v>6211</v>
      </c>
      <c r="H138" s="531">
        <f>SUBTOTAL(109,Table6[EQX])</f>
        <v>13163</v>
      </c>
      <c r="I138" s="533">
        <f>SUBTOTAL(109,Table6[%])</f>
        <v>1</v>
      </c>
    </row>
    <row r="139" spans="1:19">
      <c r="E139" s="4"/>
      <c r="F139" s="4"/>
      <c r="G139" s="4"/>
      <c r="H139" s="4"/>
      <c r="I139" s="4"/>
    </row>
    <row r="140" spans="1:19">
      <c r="B140" s="19" t="s">
        <v>112</v>
      </c>
    </row>
    <row r="141" spans="1:19" s="20" customFormat="1">
      <c r="A141"/>
      <c r="B141" s="22" t="s">
        <v>1626</v>
      </c>
      <c r="C141" s="22"/>
      <c r="D141" s="22"/>
      <c r="E141" s="22"/>
      <c r="F141" s="22"/>
      <c r="G141" s="22"/>
      <c r="H141" s="22"/>
      <c r="I141" s="22"/>
      <c r="J141" s="22"/>
      <c r="K141" s="22"/>
      <c r="L141" s="22"/>
      <c r="M141" s="22"/>
      <c r="N141" s="22"/>
      <c r="O141" s="22"/>
      <c r="P141" s="22"/>
      <c r="Q141" s="22"/>
      <c r="R141" s="22"/>
      <c r="S141" s="22"/>
    </row>
    <row r="143" spans="1:19">
      <c r="B143" s="216" t="s">
        <v>1627</v>
      </c>
      <c r="C143" s="305" t="s">
        <v>835</v>
      </c>
    </row>
    <row r="144" spans="1:19" ht="55.2">
      <c r="B144" s="102" t="s">
        <v>1628</v>
      </c>
      <c r="C144" s="242">
        <v>0</v>
      </c>
    </row>
    <row r="145" spans="1:19" ht="27.6">
      <c r="B145" s="102" t="s">
        <v>1629</v>
      </c>
      <c r="C145" s="490">
        <v>0</v>
      </c>
    </row>
    <row r="146" spans="1:19" ht="55.2">
      <c r="B146" s="102" t="s">
        <v>1630</v>
      </c>
      <c r="C146" s="490" t="s">
        <v>875</v>
      </c>
    </row>
    <row r="147" spans="1:19" ht="60" customHeight="1">
      <c r="B147" s="566" t="s">
        <v>1631</v>
      </c>
      <c r="C147" s="566"/>
      <c r="D147" s="26"/>
      <c r="E147" s="26"/>
      <c r="F147" s="26"/>
      <c r="G147" s="26"/>
      <c r="H147" s="26"/>
      <c r="I147" s="26"/>
      <c r="J147" s="26"/>
      <c r="K147" s="26"/>
    </row>
    <row r="149" spans="1:19">
      <c r="B149" s="19" t="s">
        <v>114</v>
      </c>
    </row>
    <row r="150" spans="1:19" s="20" customFormat="1">
      <c r="A150"/>
      <c r="B150" s="22" t="s">
        <v>1632</v>
      </c>
      <c r="C150" s="22"/>
      <c r="D150" s="22"/>
      <c r="E150" s="22"/>
      <c r="F150" s="22"/>
      <c r="G150" s="22"/>
      <c r="H150" s="22"/>
      <c r="I150" s="22"/>
      <c r="J150" s="22"/>
      <c r="K150" s="22"/>
      <c r="L150" s="22"/>
      <c r="M150" s="22"/>
      <c r="N150" s="22"/>
      <c r="O150" s="22"/>
      <c r="P150" s="22"/>
      <c r="Q150" s="22"/>
      <c r="R150" s="22"/>
      <c r="S150" s="22"/>
    </row>
    <row r="152" spans="1:19" ht="27.6">
      <c r="B152" s="226" t="s">
        <v>1633</v>
      </c>
      <c r="C152" s="333" t="s">
        <v>835</v>
      </c>
    </row>
    <row r="153" spans="1:19" ht="27.9" customHeight="1">
      <c r="B153" s="230" t="s">
        <v>1634</v>
      </c>
      <c r="C153" s="242">
        <v>12</v>
      </c>
    </row>
    <row r="154" spans="1:19" ht="28.5" customHeight="1">
      <c r="B154" s="230" t="s">
        <v>1635</v>
      </c>
      <c r="C154" s="242">
        <v>12</v>
      </c>
    </row>
    <row r="155" spans="1:19" ht="54.9" customHeight="1">
      <c r="B155" s="102" t="s">
        <v>1636</v>
      </c>
      <c r="C155" s="242">
        <v>12</v>
      </c>
    </row>
    <row r="156" spans="1:19">
      <c r="B156" s="38" t="s">
        <v>1637</v>
      </c>
      <c r="C156" s="242">
        <v>12</v>
      </c>
    </row>
    <row r="157" spans="1:19" ht="90.75" customHeight="1">
      <c r="B157" s="566" t="s">
        <v>1638</v>
      </c>
      <c r="C157" s="566"/>
      <c r="D157" s="26"/>
      <c r="E157" s="26"/>
      <c r="F157" s="26"/>
      <c r="G157" s="26"/>
      <c r="H157" s="26"/>
      <c r="I157" s="26"/>
      <c r="J157" s="26"/>
      <c r="K157" s="26"/>
      <c r="L157" s="26"/>
      <c r="M157" s="26"/>
    </row>
  </sheetData>
  <mergeCells count="14">
    <mergeCell ref="B3:L3"/>
    <mergeCell ref="B157:C157"/>
    <mergeCell ref="B2:H2"/>
    <mergeCell ref="B20:K20"/>
    <mergeCell ref="B64:H64"/>
    <mergeCell ref="B37:E37"/>
    <mergeCell ref="B147:C147"/>
    <mergeCell ref="B123:P123"/>
    <mergeCell ref="D12:F12"/>
    <mergeCell ref="G12:K12"/>
    <mergeCell ref="D55:E55"/>
    <mergeCell ref="F55:H55"/>
    <mergeCell ref="B86:D86"/>
    <mergeCell ref="B6:K6"/>
  </mergeCells>
  <phoneticPr fontId="11" type="noConversion"/>
  <hyperlinks>
    <hyperlink ref="B7" r:id="rId1" xr:uid="{1C7440BD-E0B8-40F0-A45A-5DB05830F63E}"/>
  </hyperlinks>
  <pageMargins left="0.7" right="0.7" top="0.75" bottom="0.75" header="0.3" footer="0.3"/>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EC1E1-527F-4A2E-B715-EB4FA38347D5}">
  <dimension ref="A2:N43"/>
  <sheetViews>
    <sheetView showGridLines="0" zoomScale="80" zoomScaleNormal="80" workbookViewId="0">
      <selection activeCell="B24" sqref="B24"/>
    </sheetView>
  </sheetViews>
  <sheetFormatPr defaultColWidth="8.88671875" defaultRowHeight="14.4"/>
  <cols>
    <col min="1" max="1" width="3" customWidth="1"/>
    <col min="2" max="14" width="25.6640625" customWidth="1"/>
  </cols>
  <sheetData>
    <row r="2" spans="1:14" ht="21">
      <c r="A2" s="19"/>
      <c r="B2" s="564" t="s">
        <v>1639</v>
      </c>
      <c r="C2" s="564"/>
      <c r="D2" s="564"/>
      <c r="E2" s="564"/>
      <c r="F2" s="564"/>
      <c r="G2" s="564"/>
      <c r="H2" s="564"/>
      <c r="I2" s="52"/>
    </row>
    <row r="3" spans="1:14">
      <c r="A3" s="38"/>
      <c r="B3" s="69" t="s">
        <v>1640</v>
      </c>
    </row>
    <row r="5" spans="1:14" ht="18">
      <c r="B5" s="19" t="s">
        <v>1239</v>
      </c>
      <c r="C5" s="17"/>
      <c r="D5" s="17"/>
      <c r="E5" s="17"/>
    </row>
    <row r="6" spans="1:14" s="18" customFormat="1">
      <c r="A6" s="13"/>
      <c r="B6" s="568" t="s">
        <v>1641</v>
      </c>
      <c r="C6" s="568"/>
      <c r="D6" s="568"/>
      <c r="E6" s="568"/>
      <c r="F6" s="568"/>
      <c r="G6" s="568"/>
      <c r="H6" s="568"/>
      <c r="I6" s="568"/>
      <c r="J6" s="568"/>
      <c r="K6" s="568"/>
    </row>
    <row r="7" spans="1:14" s="37" customFormat="1" ht="13.8">
      <c r="B7" s="458" t="s">
        <v>1642</v>
      </c>
    </row>
    <row r="9" spans="1:14" s="1" customFormat="1">
      <c r="B9" s="19" t="s">
        <v>117</v>
      </c>
    </row>
    <row r="10" spans="1:14" s="20" customFormat="1">
      <c r="A10"/>
      <c r="B10" s="201" t="s">
        <v>1643</v>
      </c>
      <c r="C10" s="18"/>
      <c r="D10" s="18"/>
      <c r="E10" s="18"/>
      <c r="F10" s="18"/>
      <c r="H10" s="23"/>
      <c r="I10" s="23"/>
      <c r="J10" s="23"/>
      <c r="K10" s="23"/>
      <c r="L10" s="23"/>
      <c r="M10" s="23"/>
    </row>
    <row r="12" spans="1:14" ht="43.5" customHeight="1">
      <c r="B12" s="353" t="s">
        <v>1644</v>
      </c>
      <c r="C12" s="354" t="s">
        <v>741</v>
      </c>
      <c r="D12" s="354" t="s">
        <v>744</v>
      </c>
      <c r="E12" s="354" t="s">
        <v>747</v>
      </c>
      <c r="F12" s="354" t="s">
        <v>750</v>
      </c>
      <c r="G12" s="354" t="s">
        <v>703</v>
      </c>
      <c r="H12" s="354" t="s">
        <v>755</v>
      </c>
      <c r="I12" s="354" t="s">
        <v>758</v>
      </c>
      <c r="J12" s="354" t="s">
        <v>761</v>
      </c>
      <c r="K12" s="354" t="s">
        <v>765</v>
      </c>
      <c r="L12" s="354" t="s">
        <v>768</v>
      </c>
      <c r="M12" s="354" t="s">
        <v>770</v>
      </c>
      <c r="N12" s="355" t="s">
        <v>835</v>
      </c>
    </row>
    <row r="13" spans="1:14">
      <c r="B13" s="357" t="s">
        <v>1645</v>
      </c>
      <c r="C13" s="544">
        <v>0.40049052054197842</v>
      </c>
      <c r="D13" s="544">
        <v>0.10193057095755834</v>
      </c>
      <c r="E13" s="544">
        <v>0.1051660711339447</v>
      </c>
      <c r="F13" s="544">
        <v>7.1858545526942347E-2</v>
      </c>
      <c r="G13" s="544">
        <v>0.21777397566184395</v>
      </c>
      <c r="H13" s="544">
        <v>0.17647950688346181</v>
      </c>
      <c r="I13" s="544">
        <v>5.7906259428926896E-2</v>
      </c>
      <c r="J13" s="544">
        <v>1.1830099324559971E-2</v>
      </c>
      <c r="K13" s="544">
        <v>0.21949986164010626</v>
      </c>
      <c r="L13" s="544">
        <v>0.17574929265836448</v>
      </c>
      <c r="M13" s="544">
        <v>2.8037113184218965E-2</v>
      </c>
      <c r="N13" s="545">
        <v>0.12586348107207138</v>
      </c>
    </row>
    <row r="14" spans="1:14" ht="30" customHeight="1">
      <c r="B14" s="357" t="s">
        <v>1646</v>
      </c>
      <c r="C14" s="544">
        <v>7.4874890579793747E-3</v>
      </c>
      <c r="D14" s="544">
        <v>0.46693844205973761</v>
      </c>
      <c r="E14" s="544">
        <v>0.3556420944936538</v>
      </c>
      <c r="F14" s="544">
        <v>0.37656853288028513</v>
      </c>
      <c r="G14" s="544">
        <v>0.42052263447344457</v>
      </c>
      <c r="H14" s="544">
        <v>1.8680854939782405E-2</v>
      </c>
      <c r="I14" s="544">
        <v>5.6052598654266414E-2</v>
      </c>
      <c r="J14" s="544">
        <v>4.0889368634140943E-2</v>
      </c>
      <c r="K14" s="544">
        <v>7.890874721735211E-2</v>
      </c>
      <c r="L14" s="544">
        <v>0.26667744702467722</v>
      </c>
      <c r="M14" s="544">
        <v>0.51529070899644647</v>
      </c>
      <c r="N14" s="545">
        <v>0.30485376600674891</v>
      </c>
    </row>
    <row r="15" spans="1:14">
      <c r="B15" s="357" t="s">
        <v>1647</v>
      </c>
      <c r="C15" s="544">
        <v>0.457130207454779</v>
      </c>
      <c r="D15" s="544">
        <v>0.37036538524596524</v>
      </c>
      <c r="E15" s="544">
        <v>0.50892872503617093</v>
      </c>
      <c r="F15" s="544">
        <v>0.54221731893426195</v>
      </c>
      <c r="G15" s="544">
        <v>0.3322737579878432</v>
      </c>
      <c r="H15" s="544">
        <v>0.774076340274788</v>
      </c>
      <c r="I15" s="544">
        <v>0.63357429313354241</v>
      </c>
      <c r="J15" s="544">
        <v>0.77615945986399992</v>
      </c>
      <c r="K15" s="544">
        <v>0.67349412451252899</v>
      </c>
      <c r="L15" s="544">
        <v>0.50769100632095709</v>
      </c>
      <c r="M15" s="544">
        <v>0.41482958345767768</v>
      </c>
      <c r="N15" s="545">
        <v>0.50227802385106701</v>
      </c>
    </row>
    <row r="16" spans="1:14" ht="15" thickBot="1">
      <c r="B16" s="358" t="s">
        <v>1648</v>
      </c>
      <c r="C16" s="546">
        <v>0.13489178294526322</v>
      </c>
      <c r="D16" s="546">
        <v>6.0765601736738818E-2</v>
      </c>
      <c r="E16" s="546">
        <v>3.0263109336230571E-2</v>
      </c>
      <c r="F16" s="546">
        <v>9.35560265851057E-3</v>
      </c>
      <c r="G16" s="546">
        <v>2.9429631876868239E-2</v>
      </c>
      <c r="H16" s="546">
        <v>3.0763297901967763E-2</v>
      </c>
      <c r="I16" s="546">
        <v>0.25246684878326431</v>
      </c>
      <c r="J16" s="546">
        <v>0.17112107217729919</v>
      </c>
      <c r="K16" s="546">
        <v>2.8097266630012618E-2</v>
      </c>
      <c r="L16" s="546">
        <v>4.9882253996001248E-2</v>
      </c>
      <c r="M16" s="546">
        <v>4.1842594361656896E-2</v>
      </c>
      <c r="N16" s="547">
        <v>6.7004729070112706E-2</v>
      </c>
    </row>
    <row r="17" spans="1:14" ht="15" thickTop="1">
      <c r="B17" s="356" t="s">
        <v>805</v>
      </c>
      <c r="C17" s="548">
        <v>1</v>
      </c>
      <c r="D17" s="548">
        <v>1</v>
      </c>
      <c r="E17" s="548">
        <v>1</v>
      </c>
      <c r="F17" s="548">
        <v>1</v>
      </c>
      <c r="G17" s="548">
        <v>0.99999999999999989</v>
      </c>
      <c r="H17" s="548">
        <v>1</v>
      </c>
      <c r="I17" s="548">
        <v>1</v>
      </c>
      <c r="J17" s="548">
        <v>1</v>
      </c>
      <c r="K17" s="548">
        <v>1</v>
      </c>
      <c r="L17" s="548">
        <v>1</v>
      </c>
      <c r="M17" s="548">
        <v>1</v>
      </c>
      <c r="N17" s="549">
        <v>1</v>
      </c>
    </row>
    <row r="18" spans="1:14" ht="29.25" customHeight="1">
      <c r="B18" s="654" t="s">
        <v>1649</v>
      </c>
      <c r="C18" s="654"/>
      <c r="D18" s="654"/>
      <c r="E18" s="654"/>
      <c r="F18" s="654"/>
      <c r="G18" s="654"/>
      <c r="H18" s="654"/>
      <c r="I18" s="654"/>
      <c r="J18" s="654"/>
      <c r="K18" s="654"/>
      <c r="L18" s="654"/>
      <c r="M18" s="654"/>
      <c r="N18" s="654"/>
    </row>
    <row r="19" spans="1:14">
      <c r="B19" s="10"/>
      <c r="C19" s="10"/>
      <c r="D19" s="10"/>
      <c r="E19" s="10"/>
      <c r="F19" s="10"/>
      <c r="G19" s="10"/>
      <c r="H19" s="10"/>
      <c r="I19" s="10"/>
      <c r="J19" s="10"/>
      <c r="K19" s="10"/>
      <c r="L19" s="10"/>
      <c r="M19" s="10"/>
      <c r="N19" s="10"/>
    </row>
    <row r="20" spans="1:14" ht="27.6">
      <c r="B20" s="367" t="s">
        <v>1650</v>
      </c>
      <c r="C20" s="359" t="s">
        <v>693</v>
      </c>
      <c r="D20" s="359" t="s">
        <v>701</v>
      </c>
      <c r="E20" s="359" t="s">
        <v>710</v>
      </c>
      <c r="F20" s="359" t="s">
        <v>713</v>
      </c>
      <c r="G20" s="359" t="s">
        <v>705</v>
      </c>
      <c r="H20" s="360" t="s">
        <v>835</v>
      </c>
    </row>
    <row r="21" spans="1:14" ht="27.6">
      <c r="B21" s="365" t="s">
        <v>1651</v>
      </c>
      <c r="C21" s="361">
        <v>814914397.04032576</v>
      </c>
      <c r="D21" s="361">
        <v>145613220.91999999</v>
      </c>
      <c r="E21" s="361">
        <v>61041959.060000002</v>
      </c>
      <c r="F21" s="361">
        <v>195078545.7099998</v>
      </c>
      <c r="G21" s="361">
        <v>496968045.10642737</v>
      </c>
      <c r="H21" s="362">
        <v>1713616167.8367529</v>
      </c>
    </row>
    <row r="22" spans="1:14" ht="27.6">
      <c r="B22" s="365" t="s">
        <v>1652</v>
      </c>
      <c r="C22" s="363">
        <v>0.93848575811018309</v>
      </c>
      <c r="D22" s="363">
        <v>0.98780931450602794</v>
      </c>
      <c r="E22" s="363">
        <v>0.96923670703041809</v>
      </c>
      <c r="F22" s="363">
        <v>0.79339703080463342</v>
      </c>
      <c r="G22" s="363">
        <v>0.95827747287424192</v>
      </c>
      <c r="H22" s="364">
        <v>0.93299527066987908</v>
      </c>
    </row>
    <row r="24" spans="1:14">
      <c r="B24" s="19" t="s">
        <v>119</v>
      </c>
      <c r="C24" s="10"/>
      <c r="D24" s="10"/>
      <c r="E24" s="10"/>
      <c r="F24" s="10"/>
      <c r="G24" s="10"/>
      <c r="H24" s="10"/>
      <c r="I24" s="10"/>
      <c r="J24" s="10"/>
      <c r="K24" s="10"/>
      <c r="L24" s="10"/>
      <c r="M24" s="10"/>
      <c r="N24" s="10"/>
    </row>
    <row r="25" spans="1:14" s="18" customFormat="1">
      <c r="A25" s="13"/>
      <c r="B25" s="653" t="s">
        <v>1653</v>
      </c>
      <c r="C25" s="653"/>
      <c r="D25" s="653"/>
      <c r="E25" s="653"/>
      <c r="F25" s="653"/>
      <c r="G25" s="653"/>
      <c r="H25" s="653"/>
      <c r="I25" s="73"/>
      <c r="J25" s="73"/>
      <c r="K25" s="73"/>
      <c r="L25" s="73"/>
      <c r="M25" s="73"/>
      <c r="N25" s="73"/>
    </row>
    <row r="26" spans="1:14">
      <c r="B26" s="10"/>
      <c r="C26" s="10"/>
      <c r="D26" s="10"/>
      <c r="E26" s="10"/>
      <c r="F26" s="10"/>
      <c r="G26" s="10"/>
      <c r="H26" s="10"/>
      <c r="I26" s="10"/>
      <c r="J26" s="10"/>
      <c r="K26" s="10"/>
      <c r="L26" s="10"/>
      <c r="M26" s="10"/>
      <c r="N26" s="10"/>
    </row>
    <row r="27" spans="1:14">
      <c r="B27" s="226" t="s">
        <v>1654</v>
      </c>
      <c r="C27" s="366" t="s">
        <v>744</v>
      </c>
      <c r="D27" s="366" t="s">
        <v>1655</v>
      </c>
      <c r="E27" s="366" t="s">
        <v>750</v>
      </c>
      <c r="F27" s="366" t="s">
        <v>703</v>
      </c>
      <c r="G27" s="366" t="s">
        <v>755</v>
      </c>
      <c r="H27" s="366" t="s">
        <v>758</v>
      </c>
      <c r="I27" s="366" t="s">
        <v>761</v>
      </c>
      <c r="J27" s="366" t="s">
        <v>765</v>
      </c>
      <c r="K27" s="366" t="s">
        <v>768</v>
      </c>
      <c r="L27" s="366" t="s">
        <v>770</v>
      </c>
      <c r="M27" s="10"/>
      <c r="N27" s="10"/>
    </row>
    <row r="28" spans="1:14">
      <c r="B28" s="230" t="s">
        <v>1656</v>
      </c>
      <c r="C28" s="550"/>
      <c r="D28" s="368"/>
      <c r="E28" s="368"/>
      <c r="F28" s="368"/>
      <c r="G28" s="368"/>
      <c r="H28" s="368"/>
      <c r="I28" s="368"/>
      <c r="J28" s="368"/>
      <c r="K28" s="368"/>
      <c r="L28" s="368"/>
      <c r="M28" s="10"/>
      <c r="N28" s="10"/>
    </row>
    <row r="29" spans="1:14" ht="27.6">
      <c r="B29" s="304" t="s">
        <v>1657</v>
      </c>
      <c r="C29" s="215" t="s">
        <v>1259</v>
      </c>
      <c r="D29" s="215" t="s">
        <v>1259</v>
      </c>
      <c r="E29" s="215" t="s">
        <v>1259</v>
      </c>
      <c r="F29" s="215" t="s">
        <v>1259</v>
      </c>
      <c r="G29" s="215" t="s">
        <v>1259</v>
      </c>
      <c r="H29" s="215" t="s">
        <v>1259</v>
      </c>
      <c r="I29" s="215" t="s">
        <v>1258</v>
      </c>
      <c r="J29" s="205" t="s">
        <v>875</v>
      </c>
      <c r="K29" s="205" t="s">
        <v>875</v>
      </c>
      <c r="L29" s="205" t="s">
        <v>875</v>
      </c>
      <c r="M29" s="10"/>
      <c r="N29" s="10"/>
    </row>
    <row r="30" spans="1:14" ht="27.6">
      <c r="B30" s="304" t="s">
        <v>1658</v>
      </c>
      <c r="C30" s="205" t="s">
        <v>875</v>
      </c>
      <c r="D30" s="205" t="s">
        <v>875</v>
      </c>
      <c r="E30" s="205" t="s">
        <v>875</v>
      </c>
      <c r="F30" s="205" t="s">
        <v>875</v>
      </c>
      <c r="G30" s="205" t="s">
        <v>875</v>
      </c>
      <c r="H30" s="205" t="s">
        <v>875</v>
      </c>
      <c r="I30" s="205">
        <v>0</v>
      </c>
      <c r="J30" s="205" t="s">
        <v>875</v>
      </c>
      <c r="K30" s="205" t="s">
        <v>875</v>
      </c>
      <c r="L30" s="205" t="s">
        <v>875</v>
      </c>
      <c r="M30" s="10"/>
      <c r="N30" s="10"/>
    </row>
    <row r="31" spans="1:14">
      <c r="B31" s="38" t="s">
        <v>1659</v>
      </c>
      <c r="C31" s="538"/>
      <c r="D31" s="538"/>
      <c r="E31" s="538"/>
      <c r="F31" s="538"/>
      <c r="G31" s="538"/>
      <c r="H31" s="538"/>
      <c r="I31" s="538"/>
      <c r="J31" s="538"/>
      <c r="K31" s="538"/>
      <c r="L31" s="538"/>
      <c r="M31" s="10"/>
      <c r="N31" s="10"/>
    </row>
    <row r="32" spans="1:14">
      <c r="B32" s="304" t="s">
        <v>1660</v>
      </c>
      <c r="C32" s="205" t="s">
        <v>875</v>
      </c>
      <c r="D32" s="205" t="s">
        <v>875</v>
      </c>
      <c r="E32" s="205" t="s">
        <v>875</v>
      </c>
      <c r="F32" s="205" t="s">
        <v>875</v>
      </c>
      <c r="G32" s="205" t="s">
        <v>875</v>
      </c>
      <c r="H32" s="205" t="s">
        <v>875</v>
      </c>
      <c r="I32" s="563">
        <v>26006</v>
      </c>
      <c r="J32" s="205" t="s">
        <v>875</v>
      </c>
      <c r="K32" s="205" t="s">
        <v>875</v>
      </c>
      <c r="L32" s="205" t="s">
        <v>875</v>
      </c>
      <c r="M32" s="10"/>
      <c r="N32" s="10"/>
    </row>
    <row r="33" spans="2:14">
      <c r="B33" s="304" t="s">
        <v>1661</v>
      </c>
      <c r="C33" s="205" t="s">
        <v>875</v>
      </c>
      <c r="D33" s="205" t="s">
        <v>875</v>
      </c>
      <c r="E33" s="205" t="s">
        <v>875</v>
      </c>
      <c r="F33" s="205" t="s">
        <v>875</v>
      </c>
      <c r="G33" s="205" t="s">
        <v>875</v>
      </c>
      <c r="H33" s="205" t="s">
        <v>875</v>
      </c>
      <c r="I33" s="563">
        <v>2.5944077243430002</v>
      </c>
      <c r="J33" s="205" t="s">
        <v>875</v>
      </c>
      <c r="K33" s="205" t="s">
        <v>875</v>
      </c>
      <c r="L33" s="205" t="s">
        <v>875</v>
      </c>
      <c r="M33" s="10"/>
      <c r="N33" s="10"/>
    </row>
    <row r="34" spans="2:14" ht="41.4">
      <c r="B34" s="304" t="s">
        <v>1662</v>
      </c>
      <c r="C34" s="205" t="s">
        <v>875</v>
      </c>
      <c r="D34" s="205" t="s">
        <v>875</v>
      </c>
      <c r="E34" s="205" t="s">
        <v>875</v>
      </c>
      <c r="F34" s="205" t="s">
        <v>875</v>
      </c>
      <c r="G34" s="205" t="s">
        <v>875</v>
      </c>
      <c r="H34" s="205" t="s">
        <v>875</v>
      </c>
      <c r="I34" s="563">
        <v>112345.92000000001</v>
      </c>
      <c r="J34" s="205" t="s">
        <v>875</v>
      </c>
      <c r="K34" s="205" t="s">
        <v>875</v>
      </c>
      <c r="L34" s="205" t="s">
        <v>875</v>
      </c>
      <c r="M34" s="10"/>
      <c r="N34" s="10"/>
    </row>
    <row r="35" spans="2:14">
      <c r="B35" s="38" t="s">
        <v>1663</v>
      </c>
      <c r="C35" s="538"/>
      <c r="D35" s="538"/>
      <c r="E35" s="538"/>
      <c r="F35" s="538"/>
      <c r="G35" s="538"/>
      <c r="H35" s="538"/>
      <c r="I35" s="538"/>
      <c r="J35" s="538"/>
      <c r="K35" s="538"/>
      <c r="L35" s="538"/>
      <c r="M35" s="10"/>
      <c r="N35" s="10"/>
    </row>
    <row r="36" spans="2:14" ht="27.6">
      <c r="B36" s="304" t="s">
        <v>1664</v>
      </c>
      <c r="C36" s="205">
        <v>0</v>
      </c>
      <c r="D36" s="205">
        <v>0</v>
      </c>
      <c r="E36" s="205">
        <v>0</v>
      </c>
      <c r="F36" s="205">
        <v>0</v>
      </c>
      <c r="G36" s="205">
        <v>0</v>
      </c>
      <c r="H36" s="205">
        <v>0</v>
      </c>
      <c r="I36" s="205">
        <v>0</v>
      </c>
      <c r="J36" s="205">
        <v>0</v>
      </c>
      <c r="K36" s="205">
        <v>0</v>
      </c>
      <c r="L36" s="205">
        <v>0</v>
      </c>
      <c r="M36" s="10"/>
      <c r="N36" s="10"/>
    </row>
    <row r="37" spans="2:14" ht="27.6">
      <c r="B37" s="304" t="s">
        <v>1665</v>
      </c>
      <c r="C37" s="205" t="s">
        <v>875</v>
      </c>
      <c r="D37" s="205" t="s">
        <v>875</v>
      </c>
      <c r="E37" s="205" t="s">
        <v>875</v>
      </c>
      <c r="F37" s="205" t="s">
        <v>875</v>
      </c>
      <c r="G37" s="205" t="s">
        <v>875</v>
      </c>
      <c r="H37" s="205" t="s">
        <v>875</v>
      </c>
      <c r="I37" s="205" t="s">
        <v>875</v>
      </c>
      <c r="J37" s="205" t="s">
        <v>875</v>
      </c>
      <c r="K37" s="205" t="s">
        <v>875</v>
      </c>
      <c r="L37" s="205" t="s">
        <v>875</v>
      </c>
      <c r="M37" s="10"/>
      <c r="N37" s="10"/>
    </row>
    <row r="38" spans="2:14" ht="27.6">
      <c r="B38" s="304" t="s">
        <v>1666</v>
      </c>
      <c r="C38" s="205" t="s">
        <v>875</v>
      </c>
      <c r="D38" s="205" t="s">
        <v>875</v>
      </c>
      <c r="E38" s="205" t="s">
        <v>875</v>
      </c>
      <c r="F38" s="205" t="s">
        <v>875</v>
      </c>
      <c r="G38" s="205" t="s">
        <v>875</v>
      </c>
      <c r="H38" s="205" t="s">
        <v>875</v>
      </c>
      <c r="I38" s="205" t="s">
        <v>875</v>
      </c>
      <c r="J38" s="205" t="s">
        <v>875</v>
      </c>
      <c r="K38" s="205" t="s">
        <v>875</v>
      </c>
      <c r="L38" s="205" t="s">
        <v>875</v>
      </c>
      <c r="M38" s="10"/>
      <c r="N38" s="10"/>
    </row>
    <row r="39" spans="2:14" ht="27.6">
      <c r="B39" s="304" t="s">
        <v>1667</v>
      </c>
      <c r="C39" s="205" t="s">
        <v>875</v>
      </c>
      <c r="D39" s="205" t="s">
        <v>875</v>
      </c>
      <c r="E39" s="205" t="s">
        <v>875</v>
      </c>
      <c r="F39" s="205" t="s">
        <v>875</v>
      </c>
      <c r="G39" s="205" t="s">
        <v>875</v>
      </c>
      <c r="H39" s="205" t="s">
        <v>875</v>
      </c>
      <c r="I39" s="205" t="s">
        <v>875</v>
      </c>
      <c r="J39" s="205" t="s">
        <v>875</v>
      </c>
      <c r="K39" s="205" t="s">
        <v>875</v>
      </c>
      <c r="L39" s="205" t="s">
        <v>875</v>
      </c>
      <c r="M39" s="10"/>
      <c r="N39" s="10"/>
    </row>
    <row r="40" spans="2:14" ht="24.75" customHeight="1">
      <c r="B40" s="566" t="s">
        <v>1668</v>
      </c>
      <c r="C40" s="566"/>
      <c r="D40" s="566"/>
      <c r="E40" s="566"/>
      <c r="F40" s="566"/>
      <c r="G40" s="566"/>
      <c r="H40" s="566"/>
      <c r="I40" s="566"/>
      <c r="J40" s="566"/>
      <c r="K40" s="566"/>
      <c r="L40" s="566"/>
      <c r="M40" s="26"/>
    </row>
    <row r="43" spans="2:14" ht="22.2">
      <c r="B43" s="51"/>
    </row>
  </sheetData>
  <mergeCells count="5">
    <mergeCell ref="B6:K6"/>
    <mergeCell ref="B2:H2"/>
    <mergeCell ref="B40:L40"/>
    <mergeCell ref="B25:H25"/>
    <mergeCell ref="B18:N18"/>
  </mergeCells>
  <hyperlinks>
    <hyperlink ref="B7" r:id="rId1" xr:uid="{61F6DD23-35CC-474E-8A9D-E96F3C642AF1}"/>
  </hyperlinks>
  <pageMargins left="0.7" right="0.7" top="0.75" bottom="0.75" header="0.3" footer="0.3"/>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9F14-44DE-4BB4-833B-125598B34FE9}">
  <dimension ref="A2:W100"/>
  <sheetViews>
    <sheetView showGridLines="0" zoomScale="80" zoomScaleNormal="80" workbookViewId="0">
      <selection activeCell="N47" sqref="N47"/>
    </sheetView>
  </sheetViews>
  <sheetFormatPr defaultColWidth="8.88671875" defaultRowHeight="14.4"/>
  <cols>
    <col min="1" max="1" width="3.5546875" customWidth="1"/>
    <col min="2" max="20" width="25.6640625" customWidth="1"/>
  </cols>
  <sheetData>
    <row r="2" spans="1:16" ht="21">
      <c r="A2" s="19"/>
      <c r="B2" s="564" t="s">
        <v>1669</v>
      </c>
      <c r="C2" s="564"/>
      <c r="D2" s="564"/>
      <c r="E2" s="564"/>
      <c r="F2" s="564"/>
      <c r="G2" s="564"/>
      <c r="H2" s="564"/>
      <c r="I2" s="655"/>
      <c r="J2" s="655"/>
    </row>
    <row r="3" spans="1:16">
      <c r="A3" s="308"/>
      <c r="B3" s="565" t="s">
        <v>1670</v>
      </c>
      <c r="C3" s="565"/>
      <c r="D3" s="565"/>
      <c r="E3" s="565"/>
      <c r="F3" s="565"/>
      <c r="G3" s="565"/>
      <c r="H3" s="565"/>
      <c r="I3" s="565"/>
      <c r="J3" s="565"/>
      <c r="K3" s="565"/>
      <c r="L3" s="565"/>
      <c r="M3" s="63"/>
    </row>
    <row r="5" spans="1:16" ht="18">
      <c r="B5" s="19" t="s">
        <v>1239</v>
      </c>
      <c r="C5" s="17"/>
      <c r="D5" s="17"/>
      <c r="E5" s="17"/>
    </row>
    <row r="6" spans="1:16" s="18" customFormat="1">
      <c r="A6" s="13"/>
      <c r="B6" s="568" t="s">
        <v>1671</v>
      </c>
      <c r="C6" s="568"/>
      <c r="D6" s="568"/>
      <c r="E6" s="568"/>
      <c r="F6" s="568"/>
      <c r="G6" s="568"/>
      <c r="H6" s="568"/>
      <c r="I6" s="568"/>
      <c r="J6" s="568"/>
      <c r="K6" s="568"/>
    </row>
    <row r="7" spans="1:16">
      <c r="B7" s="458" t="s">
        <v>1672</v>
      </c>
    </row>
    <row r="9" spans="1:16">
      <c r="B9" s="19" t="s">
        <v>122</v>
      </c>
    </row>
    <row r="10" spans="1:16" s="18" customFormat="1">
      <c r="A10" s="13"/>
      <c r="B10" s="201" t="s">
        <v>1673</v>
      </c>
    </row>
    <row r="12" spans="1:16" s="43" customFormat="1" ht="27.6">
      <c r="B12" s="122" t="s">
        <v>1674</v>
      </c>
      <c r="C12" s="227" t="s">
        <v>744</v>
      </c>
      <c r="D12" s="227" t="s">
        <v>747</v>
      </c>
      <c r="E12" s="227" t="s">
        <v>750</v>
      </c>
      <c r="F12" s="227" t="s">
        <v>703</v>
      </c>
      <c r="G12" s="227" t="s">
        <v>755</v>
      </c>
      <c r="H12" s="231" t="s">
        <v>758</v>
      </c>
      <c r="I12" s="231" t="s">
        <v>761</v>
      </c>
      <c r="J12" s="231" t="s">
        <v>765</v>
      </c>
      <c r="K12" s="231" t="s">
        <v>768</v>
      </c>
      <c r="L12" s="231" t="s">
        <v>770</v>
      </c>
      <c r="M12" s="231" t="s">
        <v>835</v>
      </c>
    </row>
    <row r="13" spans="1:16">
      <c r="B13" s="230" t="s">
        <v>1675</v>
      </c>
      <c r="C13" s="369">
        <v>27264.786999999997</v>
      </c>
      <c r="D13" s="369">
        <v>798.15</v>
      </c>
      <c r="E13" s="369">
        <v>743.53449999999998</v>
      </c>
      <c r="F13" s="369">
        <v>36.130000000000003</v>
      </c>
      <c r="G13" s="369">
        <v>960.98310000000004</v>
      </c>
      <c r="H13" s="369">
        <v>1742.0900000000001</v>
      </c>
      <c r="I13" s="369">
        <v>1681.7621828333331</v>
      </c>
      <c r="J13" s="369">
        <v>1241.8468</v>
      </c>
      <c r="K13" s="369">
        <v>1908.24071</v>
      </c>
      <c r="L13" s="369">
        <v>492</v>
      </c>
      <c r="M13" s="369">
        <f>SUM(Table48[[#This Row],[Greenstone]:[RDM]])</f>
        <v>36869.524292833332</v>
      </c>
      <c r="O13" s="14"/>
      <c r="P13" s="4"/>
    </row>
    <row r="14" spans="1:16">
      <c r="B14" s="230" t="s">
        <v>1676</v>
      </c>
      <c r="C14" s="369">
        <v>54155425</v>
      </c>
      <c r="D14" s="369">
        <v>1991469</v>
      </c>
      <c r="E14" s="369">
        <v>43663455</v>
      </c>
      <c r="F14" s="37">
        <v>0</v>
      </c>
      <c r="G14" s="369">
        <v>2702186</v>
      </c>
      <c r="H14" s="369">
        <v>18579662.677628767</v>
      </c>
      <c r="I14" s="369">
        <v>11691959.320000002</v>
      </c>
      <c r="J14" s="369">
        <v>25200155</v>
      </c>
      <c r="K14" s="369">
        <v>29414302.058300003</v>
      </c>
      <c r="L14" s="369">
        <v>15936094</v>
      </c>
      <c r="M14" s="369">
        <f>SUM(Table48[[#This Row],[Greenstone]:[RDM]])</f>
        <v>203334708.05592877</v>
      </c>
      <c r="O14" s="14"/>
      <c r="P14" s="4"/>
    </row>
    <row r="15" spans="1:16">
      <c r="B15" s="229" t="s">
        <v>805</v>
      </c>
      <c r="C15" s="369">
        <f>SUBTOTAL(109,Table48[Greenstone])</f>
        <v>54182689.787</v>
      </c>
      <c r="D15" s="369">
        <f>SUBTOTAL(109,Table48[Valentine])</f>
        <v>1992267.15</v>
      </c>
      <c r="E15" s="369">
        <f>SUBTOTAL(109,Table48[Mesquite])</f>
        <v>43664198.534500003</v>
      </c>
      <c r="F15" s="369">
        <f>SUBTOTAL(109,Table48[Castle Mountain])</f>
        <v>36.130000000000003</v>
      </c>
      <c r="G15" s="369">
        <f>SUBTOTAL(109,Table48[Los Filos])</f>
        <v>2703146.9830999998</v>
      </c>
      <c r="H15" s="369">
        <f>SUBTOTAL(109,Table48[El Limon])</f>
        <v>18581404.767628767</v>
      </c>
      <c r="I15" s="369">
        <f>SUBTOTAL(109,Table48[La Libertad])</f>
        <v>11693641.082182836</v>
      </c>
      <c r="J15" s="369">
        <f>SUBTOTAL(109,Table48[Aurizona])</f>
        <v>25201396.846799999</v>
      </c>
      <c r="K15" s="369">
        <f>SUBTOTAL(109,Table48[Bahia])</f>
        <v>29416210.299010005</v>
      </c>
      <c r="L15" s="369">
        <f>SUBTOTAL(109,Table48[RDM])</f>
        <v>15936586</v>
      </c>
      <c r="M15" s="369">
        <f>SUBTOTAL(109,Table48[EQX])</f>
        <v>203371577.58022159</v>
      </c>
      <c r="O15" s="14"/>
      <c r="P15" s="4"/>
    </row>
    <row r="16" spans="1:16">
      <c r="B16" s="229"/>
      <c r="C16" s="37"/>
      <c r="D16" s="37"/>
      <c r="E16" s="37"/>
      <c r="F16" s="37"/>
      <c r="G16" s="37"/>
      <c r="H16" s="37"/>
      <c r="I16" s="37"/>
      <c r="J16" s="37"/>
      <c r="K16" s="37"/>
      <c r="L16" s="37"/>
      <c r="M16" s="37"/>
    </row>
    <row r="17" spans="1:23" s="43" customFormat="1" ht="27.6">
      <c r="B17" s="122" t="s">
        <v>1677</v>
      </c>
      <c r="C17" s="227" t="s">
        <v>744</v>
      </c>
      <c r="D17" s="227" t="s">
        <v>747</v>
      </c>
      <c r="E17" s="227" t="s">
        <v>750</v>
      </c>
      <c r="F17" s="227" t="s">
        <v>703</v>
      </c>
      <c r="G17" s="227" t="s">
        <v>755</v>
      </c>
      <c r="H17" s="231" t="s">
        <v>758</v>
      </c>
      <c r="I17" s="231" t="s">
        <v>761</v>
      </c>
      <c r="J17" s="231" t="s">
        <v>765</v>
      </c>
      <c r="K17" s="231" t="s">
        <v>768</v>
      </c>
      <c r="L17" s="231" t="s">
        <v>770</v>
      </c>
      <c r="M17" s="231" t="s">
        <v>835</v>
      </c>
    </row>
    <row r="18" spans="1:23">
      <c r="B18" s="230" t="s">
        <v>1678</v>
      </c>
      <c r="C18" s="369">
        <v>1231.6469999999997</v>
      </c>
      <c r="D18" s="369">
        <v>434.65000000000003</v>
      </c>
      <c r="E18" s="369">
        <v>284.50849999999997</v>
      </c>
      <c r="F18" s="369">
        <v>16.930000000000003</v>
      </c>
      <c r="G18" s="369">
        <v>150.86949999999999</v>
      </c>
      <c r="H18" s="369">
        <v>1110.24</v>
      </c>
      <c r="I18" s="369">
        <v>587.54499999999996</v>
      </c>
      <c r="J18" s="369">
        <v>89.088999999999999</v>
      </c>
      <c r="K18" s="369">
        <v>446.29871000000003</v>
      </c>
      <c r="L18" s="369">
        <v>129</v>
      </c>
      <c r="M18" s="369">
        <v>4480.7777100000003</v>
      </c>
      <c r="N18" s="14"/>
      <c r="O18" s="4"/>
    </row>
    <row r="19" spans="1:23">
      <c r="B19" s="230" t="s">
        <v>1679</v>
      </c>
      <c r="C19" s="369">
        <v>26033.14</v>
      </c>
      <c r="D19" s="369">
        <v>363.5</v>
      </c>
      <c r="E19" s="369">
        <v>459.02599999999995</v>
      </c>
      <c r="F19" s="369">
        <v>19.2</v>
      </c>
      <c r="G19" s="369">
        <v>810.11359999999979</v>
      </c>
      <c r="H19" s="369">
        <v>631.84999999999991</v>
      </c>
      <c r="I19" s="369">
        <v>1094.2171828333333</v>
      </c>
      <c r="J19" s="369">
        <v>1152.7578000000001</v>
      </c>
      <c r="K19" s="369">
        <v>1461.9420000000002</v>
      </c>
      <c r="L19" s="369">
        <v>363</v>
      </c>
      <c r="M19" s="369">
        <v>32388.746582833312</v>
      </c>
      <c r="N19" s="14"/>
      <c r="O19" s="4"/>
    </row>
    <row r="20" spans="1:23">
      <c r="B20" s="229" t="s">
        <v>805</v>
      </c>
      <c r="C20" s="369">
        <f>SUBTOTAL(109,Table49[Greenstone])</f>
        <v>27264.787</v>
      </c>
      <c r="D20" s="369">
        <f>SUBTOTAL(109,Table49[Valentine])</f>
        <v>798.15000000000009</v>
      </c>
      <c r="E20" s="369">
        <f>SUBTOTAL(109,Table49[Mesquite])</f>
        <v>743.53449999999998</v>
      </c>
      <c r="F20" s="369">
        <f>SUBTOTAL(109,Table49[Castle Mountain])</f>
        <v>36.130000000000003</v>
      </c>
      <c r="G20" s="369">
        <f>SUBTOTAL(109,Table49[Los Filos])</f>
        <v>960.98309999999981</v>
      </c>
      <c r="H20" s="369">
        <f>SUBTOTAL(109,Table49[El Limon])</f>
        <v>1742.09</v>
      </c>
      <c r="I20" s="369">
        <f>SUBTOTAL(109,Table49[La Libertad])</f>
        <v>1681.7621828333331</v>
      </c>
      <c r="J20" s="369">
        <f>SUBTOTAL(109,Table49[Aurizona])</f>
        <v>1241.8468</v>
      </c>
      <c r="K20" s="369">
        <f>SUBTOTAL(109,Table49[Bahia])</f>
        <v>1908.2407100000003</v>
      </c>
      <c r="L20" s="369">
        <f>SUBTOTAL(109,Table49[RDM])</f>
        <v>492</v>
      </c>
      <c r="M20" s="369">
        <f>SUBTOTAL(109,Table49[EQX])</f>
        <v>36869.52429283331</v>
      </c>
      <c r="N20" s="14"/>
      <c r="O20" s="4"/>
    </row>
    <row r="21" spans="1:23">
      <c r="B21" s="229"/>
      <c r="C21" s="37"/>
      <c r="D21" s="37"/>
      <c r="E21" s="37"/>
      <c r="F21" s="37"/>
      <c r="G21" s="37"/>
      <c r="H21" s="37"/>
      <c r="I21" s="37"/>
      <c r="J21" s="37"/>
      <c r="K21" s="37"/>
      <c r="L21" s="37"/>
      <c r="M21" s="37"/>
    </row>
    <row r="22" spans="1:23" s="43" customFormat="1" ht="27.6">
      <c r="B22" s="122" t="s">
        <v>1680</v>
      </c>
      <c r="C22" s="227" t="s">
        <v>744</v>
      </c>
      <c r="D22" s="227" t="s">
        <v>747</v>
      </c>
      <c r="E22" s="227" t="s">
        <v>750</v>
      </c>
      <c r="F22" s="227" t="s">
        <v>703</v>
      </c>
      <c r="G22" s="227" t="s">
        <v>755</v>
      </c>
      <c r="H22" s="231" t="s">
        <v>758</v>
      </c>
      <c r="I22" s="231" t="s">
        <v>761</v>
      </c>
      <c r="J22" s="231" t="s">
        <v>765</v>
      </c>
      <c r="K22" s="231" t="s">
        <v>768</v>
      </c>
      <c r="L22" s="231" t="s">
        <v>770</v>
      </c>
      <c r="M22" s="231" t="s">
        <v>835</v>
      </c>
    </row>
    <row r="23" spans="1:23">
      <c r="B23" s="230" t="s">
        <v>1681</v>
      </c>
      <c r="C23" s="369">
        <v>46319348</v>
      </c>
      <c r="D23" s="369">
        <v>1626197</v>
      </c>
      <c r="E23" s="369">
        <v>43663455</v>
      </c>
      <c r="F23" s="37">
        <v>0</v>
      </c>
      <c r="G23" s="369">
        <v>2702186</v>
      </c>
      <c r="H23" s="369">
        <v>18076437.073733501</v>
      </c>
      <c r="I23" s="369">
        <v>9751019.3200000022</v>
      </c>
      <c r="J23" s="369">
        <v>22242153</v>
      </c>
      <c r="K23" s="369">
        <v>27931801.550000001</v>
      </c>
      <c r="L23" s="369">
        <v>13118973</v>
      </c>
      <c r="M23" s="369">
        <v>185431569.94373351</v>
      </c>
      <c r="O23" s="14"/>
      <c r="P23" s="4"/>
    </row>
    <row r="24" spans="1:23">
      <c r="B24" s="230" t="s">
        <v>1682</v>
      </c>
      <c r="C24" s="369">
        <v>7836077</v>
      </c>
      <c r="D24" s="369">
        <v>365272</v>
      </c>
      <c r="E24" s="369">
        <v>0</v>
      </c>
      <c r="F24" s="37">
        <v>0</v>
      </c>
      <c r="G24" s="37">
        <v>0</v>
      </c>
      <c r="H24" s="369">
        <v>503225.60389526765</v>
      </c>
      <c r="I24" s="369">
        <v>1940940</v>
      </c>
      <c r="J24" s="369">
        <v>2958002</v>
      </c>
      <c r="K24" s="369">
        <v>1482500.5082999999</v>
      </c>
      <c r="L24" s="369">
        <v>2817121</v>
      </c>
      <c r="M24" s="369">
        <v>17903138.112195268</v>
      </c>
      <c r="O24" s="14"/>
      <c r="P24" s="4"/>
    </row>
    <row r="25" spans="1:23">
      <c r="B25" s="37" t="s">
        <v>805</v>
      </c>
      <c r="C25" s="264">
        <f t="shared" ref="C25:M25" si="0">SUM(C23+C24)</f>
        <v>54155425</v>
      </c>
      <c r="D25" s="264">
        <f t="shared" si="0"/>
        <v>1991469</v>
      </c>
      <c r="E25" s="264">
        <f t="shared" si="0"/>
        <v>43663455</v>
      </c>
      <c r="F25" s="37">
        <f t="shared" si="0"/>
        <v>0</v>
      </c>
      <c r="G25" s="264">
        <f t="shared" si="0"/>
        <v>2702186</v>
      </c>
      <c r="H25" s="264">
        <f t="shared" si="0"/>
        <v>18579662.67762877</v>
      </c>
      <c r="I25" s="264">
        <f t="shared" si="0"/>
        <v>11691959.320000002</v>
      </c>
      <c r="J25" s="264">
        <f t="shared" si="0"/>
        <v>25200155</v>
      </c>
      <c r="K25" s="264">
        <f t="shared" si="0"/>
        <v>29414302.0583</v>
      </c>
      <c r="L25" s="264">
        <f t="shared" si="0"/>
        <v>15936094</v>
      </c>
      <c r="M25" s="264">
        <f t="shared" si="0"/>
        <v>203334708.05592877</v>
      </c>
      <c r="O25" s="14"/>
      <c r="P25" s="4"/>
    </row>
    <row r="26" spans="1:23">
      <c r="B26" s="651" t="s">
        <v>1683</v>
      </c>
      <c r="C26" s="651"/>
      <c r="D26" s="651"/>
      <c r="E26" s="651"/>
      <c r="F26" s="651"/>
      <c r="G26" s="651"/>
      <c r="H26" s="651"/>
      <c r="I26" s="651"/>
      <c r="J26" s="651"/>
      <c r="K26" s="651"/>
      <c r="L26" s="651"/>
      <c r="M26" s="651"/>
      <c r="O26" s="14"/>
      <c r="P26" s="4"/>
    </row>
    <row r="27" spans="1:23">
      <c r="K27" s="1"/>
    </row>
    <row r="28" spans="1:23">
      <c r="B28" s="19" t="s">
        <v>124</v>
      </c>
    </row>
    <row r="29" spans="1:23" s="20" customFormat="1">
      <c r="A29" s="13"/>
      <c r="B29" s="201" t="s">
        <v>1684</v>
      </c>
      <c r="C29" s="18"/>
      <c r="D29" s="18"/>
      <c r="E29" s="18"/>
      <c r="F29" s="18"/>
      <c r="G29" s="18"/>
      <c r="H29" s="18"/>
      <c r="I29" s="18"/>
      <c r="J29" s="18"/>
      <c r="K29" s="18"/>
    </row>
    <row r="30" spans="1:23">
      <c r="N30" s="118"/>
    </row>
    <row r="31" spans="1:23" s="371" customFormat="1" ht="35.25" customHeight="1">
      <c r="A31" s="43"/>
      <c r="B31" s="122" t="s">
        <v>1685</v>
      </c>
      <c r="C31" s="370" t="s">
        <v>1686</v>
      </c>
      <c r="D31" s="370" t="s">
        <v>747</v>
      </c>
      <c r="E31" s="370" t="s">
        <v>750</v>
      </c>
      <c r="F31" s="370" t="s">
        <v>703</v>
      </c>
      <c r="G31" s="370" t="s">
        <v>755</v>
      </c>
      <c r="H31" s="268" t="s">
        <v>758</v>
      </c>
      <c r="I31" s="268" t="s">
        <v>761</v>
      </c>
      <c r="J31" s="268" t="s">
        <v>765</v>
      </c>
      <c r="K31" s="268" t="s">
        <v>768</v>
      </c>
      <c r="L31" s="268" t="s">
        <v>770</v>
      </c>
      <c r="M31" s="268" t="s">
        <v>835</v>
      </c>
    </row>
    <row r="32" spans="1:23" ht="27.6">
      <c r="A32" s="1"/>
      <c r="B32" s="129" t="s">
        <v>1687</v>
      </c>
      <c r="C32" s="551">
        <v>0</v>
      </c>
      <c r="D32" s="551">
        <v>370.22</v>
      </c>
      <c r="E32" s="551">
        <v>373.28699999999992</v>
      </c>
      <c r="F32" s="551">
        <v>0.13</v>
      </c>
      <c r="G32" s="551">
        <v>25.271599999999999</v>
      </c>
      <c r="H32" s="551">
        <v>275.8</v>
      </c>
      <c r="I32" s="551">
        <v>824.39399083333331</v>
      </c>
      <c r="J32" s="551">
        <v>1100.3227999999999</v>
      </c>
      <c r="K32" s="551">
        <v>1414.3473000000001</v>
      </c>
      <c r="L32" s="551">
        <v>0</v>
      </c>
      <c r="M32" s="551">
        <v>4383.7726908333334</v>
      </c>
      <c r="N32" s="1"/>
      <c r="O32" s="1"/>
      <c r="P32" s="1"/>
      <c r="Q32" s="1"/>
      <c r="R32" s="1"/>
      <c r="S32" s="1"/>
      <c r="T32" s="1"/>
      <c r="U32" s="1"/>
      <c r="V32" s="1"/>
      <c r="W32" s="1"/>
    </row>
    <row r="33" spans="1:23">
      <c r="B33" s="372" t="s">
        <v>1678</v>
      </c>
      <c r="C33" s="552">
        <v>0</v>
      </c>
      <c r="D33" s="552">
        <v>368.98</v>
      </c>
      <c r="E33" s="552">
        <v>256.03100000000001</v>
      </c>
      <c r="F33" s="552">
        <v>0.13</v>
      </c>
      <c r="G33" s="552">
        <v>0</v>
      </c>
      <c r="H33" s="552">
        <v>0</v>
      </c>
      <c r="I33" s="552">
        <v>16.97</v>
      </c>
      <c r="J33" s="552">
        <v>3.8</v>
      </c>
      <c r="K33" s="552">
        <v>53.517299999999992</v>
      </c>
      <c r="L33" s="552">
        <v>0</v>
      </c>
      <c r="M33" s="552">
        <v>699.42830000000026</v>
      </c>
      <c r="O33" s="30"/>
      <c r="P33" s="30"/>
      <c r="Q33" s="30"/>
      <c r="R33" s="30"/>
      <c r="S33" s="30"/>
      <c r="T33" s="30"/>
      <c r="U33" s="30"/>
      <c r="V33" s="30"/>
      <c r="W33" s="30"/>
    </row>
    <row r="34" spans="1:23" s="1" customFormat="1">
      <c r="B34" s="291" t="s">
        <v>1688</v>
      </c>
      <c r="C34" s="551">
        <v>0</v>
      </c>
      <c r="D34" s="551">
        <v>77.86</v>
      </c>
      <c r="E34" s="551">
        <v>0</v>
      </c>
      <c r="F34" s="551">
        <v>0</v>
      </c>
      <c r="G34" s="551">
        <v>0</v>
      </c>
      <c r="H34" s="551">
        <v>0</v>
      </c>
      <c r="I34" s="551">
        <v>0</v>
      </c>
      <c r="J34" s="551">
        <v>0</v>
      </c>
      <c r="K34" s="551">
        <v>0</v>
      </c>
      <c r="L34" s="551">
        <v>0</v>
      </c>
      <c r="M34" s="551">
        <v>77.86</v>
      </c>
    </row>
    <row r="35" spans="1:23">
      <c r="B35" s="373" t="s">
        <v>1689</v>
      </c>
      <c r="C35" s="554" t="s">
        <v>877</v>
      </c>
      <c r="D35" s="554">
        <v>0</v>
      </c>
      <c r="E35" s="554">
        <v>0</v>
      </c>
      <c r="F35" s="554">
        <v>0</v>
      </c>
      <c r="G35" s="554">
        <v>0</v>
      </c>
      <c r="H35" s="554">
        <v>0</v>
      </c>
      <c r="I35" s="554">
        <v>0</v>
      </c>
      <c r="J35" s="554">
        <v>0</v>
      </c>
      <c r="K35" s="554">
        <v>0</v>
      </c>
      <c r="L35" s="554">
        <v>0</v>
      </c>
      <c r="M35" s="554">
        <v>0</v>
      </c>
    </row>
    <row r="36" spans="1:23" s="1" customFormat="1">
      <c r="A36"/>
      <c r="B36" s="373" t="s">
        <v>1690</v>
      </c>
      <c r="C36" s="554" t="s">
        <v>877</v>
      </c>
      <c r="D36" s="554">
        <v>77.86</v>
      </c>
      <c r="E36" s="554">
        <v>0</v>
      </c>
      <c r="F36" s="554">
        <v>0</v>
      </c>
      <c r="G36" s="554">
        <v>0</v>
      </c>
      <c r="H36" s="554">
        <v>0</v>
      </c>
      <c r="I36" s="554">
        <v>0</v>
      </c>
      <c r="J36" s="554">
        <v>0</v>
      </c>
      <c r="K36" s="554">
        <v>0</v>
      </c>
      <c r="L36" s="554">
        <v>0</v>
      </c>
      <c r="M36" s="554">
        <v>77.86</v>
      </c>
    </row>
    <row r="37" spans="1:23">
      <c r="A37" s="1"/>
      <c r="B37" s="291" t="s">
        <v>1089</v>
      </c>
      <c r="C37" s="551">
        <v>0</v>
      </c>
      <c r="D37" s="551">
        <v>0.47</v>
      </c>
      <c r="E37" s="551">
        <v>256.03100000000001</v>
      </c>
      <c r="F37" s="551">
        <v>0.13</v>
      </c>
      <c r="G37" s="551">
        <v>0</v>
      </c>
      <c r="H37" s="551">
        <v>0</v>
      </c>
      <c r="I37" s="551">
        <v>0</v>
      </c>
      <c r="J37" s="551">
        <v>3.8</v>
      </c>
      <c r="K37" s="551">
        <v>0</v>
      </c>
      <c r="L37" s="551">
        <v>0</v>
      </c>
      <c r="M37" s="551">
        <v>260.43099999999998</v>
      </c>
    </row>
    <row r="38" spans="1:23">
      <c r="B38" s="373" t="s">
        <v>1689</v>
      </c>
      <c r="C38" s="554" t="s">
        <v>877</v>
      </c>
      <c r="D38" s="554">
        <v>0</v>
      </c>
      <c r="E38" s="554">
        <v>0</v>
      </c>
      <c r="F38" s="554">
        <v>0</v>
      </c>
      <c r="G38" s="554">
        <v>0</v>
      </c>
      <c r="H38" s="554">
        <v>0</v>
      </c>
      <c r="I38" s="554">
        <v>0</v>
      </c>
      <c r="J38" s="554">
        <v>0</v>
      </c>
      <c r="K38" s="554">
        <v>0</v>
      </c>
      <c r="L38" s="554">
        <v>0</v>
      </c>
      <c r="M38" s="554">
        <v>0</v>
      </c>
    </row>
    <row r="39" spans="1:23" s="1" customFormat="1">
      <c r="A39"/>
      <c r="B39" s="373" t="s">
        <v>1690</v>
      </c>
      <c r="C39" s="554" t="s">
        <v>877</v>
      </c>
      <c r="D39" s="554">
        <v>0.47</v>
      </c>
      <c r="E39" s="554">
        <v>256.03100000000001</v>
      </c>
      <c r="F39" s="554">
        <v>0.13</v>
      </c>
      <c r="G39" s="554">
        <v>0</v>
      </c>
      <c r="H39" s="554">
        <v>0</v>
      </c>
      <c r="I39" s="554">
        <v>0</v>
      </c>
      <c r="J39" s="554">
        <v>3.8</v>
      </c>
      <c r="K39" s="554">
        <v>0</v>
      </c>
      <c r="L39" s="554">
        <v>0</v>
      </c>
      <c r="M39" s="554">
        <v>260.43099999999998</v>
      </c>
    </row>
    <row r="40" spans="1:23">
      <c r="A40" s="1"/>
      <c r="B40" s="291" t="s">
        <v>1691</v>
      </c>
      <c r="C40" s="551">
        <v>0</v>
      </c>
      <c r="D40" s="551">
        <v>290.64999999999998</v>
      </c>
      <c r="E40" s="551">
        <v>0</v>
      </c>
      <c r="F40" s="551">
        <v>0</v>
      </c>
      <c r="G40" s="551">
        <v>0</v>
      </c>
      <c r="H40" s="551">
        <v>0</v>
      </c>
      <c r="I40" s="551">
        <v>16.97</v>
      </c>
      <c r="J40" s="551">
        <v>0</v>
      </c>
      <c r="K40" s="551">
        <v>53.517299999999992</v>
      </c>
      <c r="L40" s="551">
        <v>0</v>
      </c>
      <c r="M40" s="551">
        <v>361.13729999999998</v>
      </c>
    </row>
    <row r="41" spans="1:23">
      <c r="B41" s="373" t="s">
        <v>1689</v>
      </c>
      <c r="C41" s="554" t="s">
        <v>877</v>
      </c>
      <c r="D41" s="554">
        <v>0</v>
      </c>
      <c r="E41" s="554">
        <v>0</v>
      </c>
      <c r="F41" s="554">
        <v>0</v>
      </c>
      <c r="G41" s="554">
        <v>0</v>
      </c>
      <c r="H41" s="554">
        <v>0</v>
      </c>
      <c r="I41" s="554">
        <v>0</v>
      </c>
      <c r="J41" s="554">
        <v>0</v>
      </c>
      <c r="K41" s="554">
        <v>0</v>
      </c>
      <c r="L41" s="554">
        <v>0</v>
      </c>
      <c r="M41" s="554">
        <v>0</v>
      </c>
    </row>
    <row r="42" spans="1:23" s="1" customFormat="1">
      <c r="A42"/>
      <c r="B42" s="373" t="s">
        <v>1690</v>
      </c>
      <c r="C42" s="554" t="s">
        <v>877</v>
      </c>
      <c r="D42" s="554">
        <v>290.64999999999998</v>
      </c>
      <c r="E42" s="554">
        <v>0</v>
      </c>
      <c r="F42" s="554">
        <v>0</v>
      </c>
      <c r="G42" s="554">
        <v>0</v>
      </c>
      <c r="H42" s="554">
        <v>0</v>
      </c>
      <c r="I42" s="554">
        <v>16.97</v>
      </c>
      <c r="J42" s="554">
        <v>0</v>
      </c>
      <c r="K42" s="554">
        <v>53.517299999999992</v>
      </c>
      <c r="L42" s="554">
        <v>0</v>
      </c>
      <c r="M42" s="554">
        <v>361.13729999999998</v>
      </c>
    </row>
    <row r="43" spans="1:23">
      <c r="B43" s="372" t="s">
        <v>1679</v>
      </c>
      <c r="C43" s="552">
        <v>0</v>
      </c>
      <c r="D43" s="552">
        <v>1.24</v>
      </c>
      <c r="E43" s="552">
        <v>117.256</v>
      </c>
      <c r="F43" s="552">
        <v>0</v>
      </c>
      <c r="G43" s="552">
        <v>25.271599999999999</v>
      </c>
      <c r="H43" s="552">
        <v>275.8</v>
      </c>
      <c r="I43" s="552">
        <v>807.42399083333316</v>
      </c>
      <c r="J43" s="552">
        <v>1096.5228</v>
      </c>
      <c r="K43" s="552">
        <v>1360.8300000000002</v>
      </c>
      <c r="L43" s="552">
        <v>0</v>
      </c>
      <c r="M43" s="552">
        <v>3684.3443908333343</v>
      </c>
    </row>
    <row r="44" spans="1:23">
      <c r="A44" s="1"/>
      <c r="B44" s="291" t="s">
        <v>1688</v>
      </c>
      <c r="C44" s="551">
        <v>0</v>
      </c>
      <c r="D44" s="551">
        <v>0</v>
      </c>
      <c r="E44" s="551">
        <v>110.15</v>
      </c>
      <c r="F44" s="551">
        <v>0</v>
      </c>
      <c r="G44" s="551">
        <v>0</v>
      </c>
      <c r="H44" s="551">
        <v>0</v>
      </c>
      <c r="I44" s="551">
        <v>0</v>
      </c>
      <c r="J44" s="551">
        <v>95.311999999999998</v>
      </c>
      <c r="K44" s="551">
        <v>64.530000000000015</v>
      </c>
      <c r="L44" s="551">
        <v>0</v>
      </c>
      <c r="M44" s="551">
        <v>269.99199999999996</v>
      </c>
    </row>
    <row r="45" spans="1:23">
      <c r="B45" s="373" t="s">
        <v>1689</v>
      </c>
      <c r="C45" s="554" t="s">
        <v>877</v>
      </c>
      <c r="D45" s="554">
        <v>0</v>
      </c>
      <c r="E45" s="554">
        <v>0</v>
      </c>
      <c r="F45" s="554">
        <v>0</v>
      </c>
      <c r="G45" s="554">
        <v>0</v>
      </c>
      <c r="H45" s="554">
        <v>0</v>
      </c>
      <c r="I45" s="554">
        <v>0</v>
      </c>
      <c r="J45" s="554">
        <v>0</v>
      </c>
      <c r="K45" s="554">
        <v>64.530000000000015</v>
      </c>
      <c r="L45" s="554">
        <v>0</v>
      </c>
      <c r="M45" s="554">
        <v>64.530000000000015</v>
      </c>
    </row>
    <row r="46" spans="1:23" s="1" customFormat="1">
      <c r="A46"/>
      <c r="B46" s="373" t="s">
        <v>1690</v>
      </c>
      <c r="C46" s="554" t="s">
        <v>877</v>
      </c>
      <c r="D46" s="554">
        <v>0</v>
      </c>
      <c r="E46" s="554">
        <v>110.15</v>
      </c>
      <c r="F46" s="554">
        <v>0</v>
      </c>
      <c r="G46" s="554">
        <v>0</v>
      </c>
      <c r="H46" s="554">
        <v>0</v>
      </c>
      <c r="I46" s="554">
        <v>0</v>
      </c>
      <c r="J46" s="554">
        <v>95.311999999999998</v>
      </c>
      <c r="K46" s="554">
        <v>0</v>
      </c>
      <c r="L46" s="554">
        <v>0</v>
      </c>
      <c r="M46" s="554">
        <v>205.46199999999999</v>
      </c>
    </row>
    <row r="47" spans="1:23">
      <c r="A47" s="1"/>
      <c r="B47" s="291" t="s">
        <v>1089</v>
      </c>
      <c r="C47" s="551">
        <v>0</v>
      </c>
      <c r="D47" s="551">
        <v>1.24</v>
      </c>
      <c r="E47" s="551">
        <v>7.1060000000000008</v>
      </c>
      <c r="F47" s="551">
        <v>0</v>
      </c>
      <c r="G47" s="551">
        <v>25.271599999999999</v>
      </c>
      <c r="H47" s="551">
        <v>275.8</v>
      </c>
      <c r="I47" s="551">
        <v>807.42399083333316</v>
      </c>
      <c r="J47" s="551">
        <v>973.33000000000015</v>
      </c>
      <c r="K47" s="551">
        <v>1296.3000000000002</v>
      </c>
      <c r="L47" s="551">
        <v>0</v>
      </c>
      <c r="M47" s="551">
        <v>3386.4715908333337</v>
      </c>
    </row>
    <row r="48" spans="1:23">
      <c r="B48" s="373" t="s">
        <v>1689</v>
      </c>
      <c r="C48" s="554" t="s">
        <v>877</v>
      </c>
      <c r="D48" s="554">
        <v>0</v>
      </c>
      <c r="E48" s="554">
        <v>0</v>
      </c>
      <c r="F48" s="554">
        <v>0</v>
      </c>
      <c r="G48" s="554">
        <v>0</v>
      </c>
      <c r="H48" s="554">
        <v>0</v>
      </c>
      <c r="I48" s="554">
        <v>0</v>
      </c>
      <c r="J48" s="554">
        <v>0</v>
      </c>
      <c r="K48" s="554">
        <v>0</v>
      </c>
      <c r="L48" s="554">
        <v>0</v>
      </c>
      <c r="M48" s="554">
        <v>0</v>
      </c>
    </row>
    <row r="49" spans="1:23" s="1" customFormat="1">
      <c r="A49"/>
      <c r="B49" s="373" t="s">
        <v>1690</v>
      </c>
      <c r="C49" s="554" t="s">
        <v>877</v>
      </c>
      <c r="D49" s="554">
        <v>1.24</v>
      </c>
      <c r="E49" s="554">
        <v>7.1060000000000008</v>
      </c>
      <c r="F49" s="554">
        <v>0</v>
      </c>
      <c r="G49" s="554">
        <v>25.271599999999999</v>
      </c>
      <c r="H49" s="554">
        <v>275.8</v>
      </c>
      <c r="I49" s="554">
        <v>807.42399083333316</v>
      </c>
      <c r="J49" s="554">
        <v>973.33000000000015</v>
      </c>
      <c r="K49" s="554">
        <v>1296.3000000000002</v>
      </c>
      <c r="L49" s="554">
        <v>0</v>
      </c>
      <c r="M49" s="554">
        <v>3386.4715908333337</v>
      </c>
    </row>
    <row r="50" spans="1:23">
      <c r="A50" s="1"/>
      <c r="B50" s="291" t="s">
        <v>1691</v>
      </c>
      <c r="C50" s="551">
        <v>0</v>
      </c>
      <c r="D50" s="551">
        <v>0</v>
      </c>
      <c r="E50" s="551">
        <v>0</v>
      </c>
      <c r="F50" s="551">
        <v>0</v>
      </c>
      <c r="G50" s="551">
        <v>0</v>
      </c>
      <c r="H50" s="551">
        <v>0</v>
      </c>
      <c r="I50" s="551">
        <v>0</v>
      </c>
      <c r="J50" s="551">
        <v>27.880800000000001</v>
      </c>
      <c r="K50" s="551">
        <v>0</v>
      </c>
      <c r="L50" s="551">
        <v>0</v>
      </c>
      <c r="M50" s="551">
        <v>27.880799999999997</v>
      </c>
      <c r="N50" s="1"/>
    </row>
    <row r="51" spans="1:23">
      <c r="B51" s="373" t="s">
        <v>1689</v>
      </c>
      <c r="C51" s="554" t="s">
        <v>877</v>
      </c>
      <c r="D51" s="554">
        <v>0</v>
      </c>
      <c r="E51" s="554">
        <v>0</v>
      </c>
      <c r="F51" s="554">
        <v>0</v>
      </c>
      <c r="G51" s="554">
        <v>0</v>
      </c>
      <c r="H51" s="554">
        <v>0</v>
      </c>
      <c r="I51" s="554">
        <v>0</v>
      </c>
      <c r="J51" s="554">
        <v>27.880800000000001</v>
      </c>
      <c r="K51" s="554">
        <v>0</v>
      </c>
      <c r="L51" s="554">
        <v>0</v>
      </c>
      <c r="M51" s="554">
        <v>27.880799999999997</v>
      </c>
      <c r="N51" s="1"/>
    </row>
    <row r="52" spans="1:23" s="1" customFormat="1">
      <c r="A52"/>
      <c r="B52" s="373" t="s">
        <v>1690</v>
      </c>
      <c r="C52" s="554" t="s">
        <v>877</v>
      </c>
      <c r="D52" s="554">
        <v>0</v>
      </c>
      <c r="E52" s="554">
        <v>0</v>
      </c>
      <c r="F52" s="554">
        <v>0</v>
      </c>
      <c r="G52" s="554">
        <v>0</v>
      </c>
      <c r="H52" s="554">
        <v>0</v>
      </c>
      <c r="I52" s="554">
        <v>0</v>
      </c>
      <c r="J52" s="554">
        <v>0</v>
      </c>
      <c r="K52" s="554">
        <v>0</v>
      </c>
      <c r="L52" s="554">
        <v>0</v>
      </c>
      <c r="M52" s="554">
        <v>0</v>
      </c>
    </row>
    <row r="53" spans="1:23" ht="23.25" customHeight="1">
      <c r="B53" s="566" t="s">
        <v>1692</v>
      </c>
      <c r="C53" s="630"/>
      <c r="D53" s="630"/>
      <c r="E53" s="630"/>
      <c r="F53" s="630"/>
      <c r="G53" s="630"/>
      <c r="H53" s="630"/>
      <c r="I53" s="630"/>
      <c r="J53" s="630"/>
      <c r="K53" s="630"/>
      <c r="L53" s="630"/>
      <c r="M53" s="630"/>
      <c r="N53" s="1"/>
      <c r="P53" s="30"/>
    </row>
    <row r="54" spans="1:23">
      <c r="B54" s="116"/>
      <c r="K54" s="1"/>
    </row>
    <row r="55" spans="1:23">
      <c r="B55" s="19" t="s">
        <v>126</v>
      </c>
    </row>
    <row r="56" spans="1:23" s="20" customFormat="1">
      <c r="A56" s="13"/>
      <c r="B56" s="201" t="s">
        <v>1693</v>
      </c>
      <c r="C56" s="18"/>
      <c r="D56" s="18"/>
      <c r="E56" s="18"/>
      <c r="F56" s="18"/>
      <c r="G56" s="18"/>
      <c r="H56" s="18"/>
      <c r="I56" s="18"/>
      <c r="J56" s="18"/>
      <c r="K56" s="18"/>
    </row>
    <row r="57" spans="1:23">
      <c r="N57" s="118"/>
    </row>
    <row r="58" spans="1:23" s="371" customFormat="1" ht="27.6">
      <c r="A58" s="43"/>
      <c r="B58" s="122" t="s">
        <v>1694</v>
      </c>
      <c r="C58" s="370" t="s">
        <v>744</v>
      </c>
      <c r="D58" s="370" t="s">
        <v>747</v>
      </c>
      <c r="E58" s="370" t="s">
        <v>750</v>
      </c>
      <c r="F58" s="370" t="s">
        <v>703</v>
      </c>
      <c r="G58" s="370" t="s">
        <v>755</v>
      </c>
      <c r="H58" s="268" t="s">
        <v>758</v>
      </c>
      <c r="I58" s="268" t="s">
        <v>761</v>
      </c>
      <c r="J58" s="268" t="s">
        <v>765</v>
      </c>
      <c r="K58" s="268" t="s">
        <v>768</v>
      </c>
      <c r="L58" s="268" t="s">
        <v>770</v>
      </c>
      <c r="M58" s="268" t="s">
        <v>835</v>
      </c>
    </row>
    <row r="59" spans="1:23" ht="27.6">
      <c r="A59" s="1"/>
      <c r="B59" s="230" t="s">
        <v>1695</v>
      </c>
      <c r="C59" s="551">
        <v>27264.786999999997</v>
      </c>
      <c r="D59" s="551">
        <v>427.92999999999995</v>
      </c>
      <c r="E59" s="551">
        <v>370.2475</v>
      </c>
      <c r="F59" s="551">
        <v>36</v>
      </c>
      <c r="G59" s="551">
        <v>935.71149999999989</v>
      </c>
      <c r="H59" s="551">
        <v>1466.29</v>
      </c>
      <c r="I59" s="551">
        <v>857.36819200000002</v>
      </c>
      <c r="J59" s="551">
        <v>141.524</v>
      </c>
      <c r="K59" s="551">
        <v>493.89341000000007</v>
      </c>
      <c r="L59" s="551">
        <v>492</v>
      </c>
      <c r="M59" s="551">
        <v>32485.751602000004</v>
      </c>
      <c r="N59" s="1"/>
      <c r="O59" s="1"/>
      <c r="P59" s="1"/>
      <c r="Q59" s="1"/>
      <c r="R59" s="1"/>
      <c r="S59" s="1"/>
      <c r="T59" s="1"/>
      <c r="U59" s="1"/>
      <c r="V59" s="1"/>
      <c r="W59" s="1"/>
    </row>
    <row r="60" spans="1:23" s="1" customFormat="1">
      <c r="B60" s="346" t="s">
        <v>1678</v>
      </c>
      <c r="C60" s="552">
        <v>1231.6469999999997</v>
      </c>
      <c r="D60" s="552">
        <v>65.67</v>
      </c>
      <c r="E60" s="552">
        <v>28.477499999999999</v>
      </c>
      <c r="F60" s="552">
        <v>16.8</v>
      </c>
      <c r="G60" s="552">
        <v>150.86949999999999</v>
      </c>
      <c r="H60" s="552">
        <v>1110.24</v>
      </c>
      <c r="I60" s="552">
        <v>570.57499999999993</v>
      </c>
      <c r="J60" s="552">
        <v>85.289000000000001</v>
      </c>
      <c r="K60" s="552">
        <v>392.78140999999999</v>
      </c>
      <c r="L60" s="552">
        <v>129</v>
      </c>
      <c r="M60" s="553">
        <v>3781.3494100000016</v>
      </c>
      <c r="O60" s="375"/>
      <c r="P60" s="375"/>
      <c r="Q60" s="375"/>
      <c r="R60" s="375"/>
      <c r="S60" s="375"/>
      <c r="T60" s="375"/>
      <c r="U60" s="375"/>
      <c r="V60" s="375"/>
      <c r="W60" s="375"/>
    </row>
    <row r="61" spans="1:23" s="1" customFormat="1" ht="27.6">
      <c r="B61" s="304" t="s">
        <v>1696</v>
      </c>
      <c r="C61" s="551">
        <v>0</v>
      </c>
      <c r="D61" s="551">
        <v>42.5</v>
      </c>
      <c r="E61" s="551">
        <v>0</v>
      </c>
      <c r="F61" s="551">
        <v>0</v>
      </c>
      <c r="G61" s="551">
        <v>0</v>
      </c>
      <c r="H61" s="551">
        <v>78.02000000000001</v>
      </c>
      <c r="I61" s="551">
        <v>83.16</v>
      </c>
      <c r="J61" s="551">
        <v>0</v>
      </c>
      <c r="K61" s="551">
        <v>0</v>
      </c>
      <c r="L61" s="551">
        <v>0</v>
      </c>
      <c r="M61" s="551">
        <v>203.68</v>
      </c>
    </row>
    <row r="62" spans="1:23">
      <c r="B62" s="374" t="s">
        <v>1689</v>
      </c>
      <c r="C62" s="554">
        <v>0</v>
      </c>
      <c r="D62" s="554">
        <v>0</v>
      </c>
      <c r="E62" s="554">
        <v>0</v>
      </c>
      <c r="F62" s="554">
        <v>0</v>
      </c>
      <c r="G62" s="554">
        <v>0</v>
      </c>
      <c r="H62" s="554">
        <v>0</v>
      </c>
      <c r="I62" s="554">
        <v>0</v>
      </c>
      <c r="J62" s="554">
        <v>0</v>
      </c>
      <c r="K62" s="554">
        <v>0</v>
      </c>
      <c r="L62" s="554">
        <v>0</v>
      </c>
      <c r="M62" s="554">
        <v>0</v>
      </c>
    </row>
    <row r="63" spans="1:23" s="1" customFormat="1">
      <c r="A63"/>
      <c r="B63" s="374" t="s">
        <v>1690</v>
      </c>
      <c r="C63" s="554">
        <v>0</v>
      </c>
      <c r="D63" s="554">
        <v>42.5</v>
      </c>
      <c r="E63" s="554">
        <v>0</v>
      </c>
      <c r="F63" s="554">
        <v>0</v>
      </c>
      <c r="G63" s="554">
        <v>0</v>
      </c>
      <c r="H63" s="554">
        <v>78.02000000000001</v>
      </c>
      <c r="I63" s="554">
        <v>83.16</v>
      </c>
      <c r="J63" s="554">
        <v>0</v>
      </c>
      <c r="K63" s="554">
        <v>0</v>
      </c>
      <c r="L63" s="554">
        <v>0</v>
      </c>
      <c r="M63" s="554">
        <v>203.68</v>
      </c>
    </row>
    <row r="64" spans="1:23" s="1" customFormat="1" ht="27.6">
      <c r="B64" s="304" t="s">
        <v>1697</v>
      </c>
      <c r="C64" s="551">
        <v>0</v>
      </c>
      <c r="D64" s="551">
        <v>0</v>
      </c>
      <c r="E64" s="551">
        <v>7.7275000000000009</v>
      </c>
      <c r="F64" s="551">
        <v>0</v>
      </c>
      <c r="G64" s="551">
        <v>0</v>
      </c>
      <c r="H64" s="551">
        <v>6.4399999999999995</v>
      </c>
      <c r="I64" s="551">
        <v>157.58500000000001</v>
      </c>
      <c r="J64" s="551">
        <v>4.488999999999999</v>
      </c>
      <c r="K64" s="551">
        <v>187</v>
      </c>
      <c r="L64" s="551">
        <v>0</v>
      </c>
      <c r="M64" s="551">
        <v>363.24149999999986</v>
      </c>
    </row>
    <row r="65" spans="1:13">
      <c r="B65" s="374" t="s">
        <v>1689</v>
      </c>
      <c r="C65" s="554">
        <v>0</v>
      </c>
      <c r="D65" s="554">
        <v>0</v>
      </c>
      <c r="E65" s="554">
        <v>0</v>
      </c>
      <c r="F65" s="554">
        <v>0</v>
      </c>
      <c r="G65" s="554">
        <v>0</v>
      </c>
      <c r="H65" s="554">
        <v>0</v>
      </c>
      <c r="I65" s="554">
        <v>0.55500000000000005</v>
      </c>
      <c r="J65" s="554">
        <v>4.488999999999999</v>
      </c>
      <c r="K65" s="554">
        <v>0</v>
      </c>
      <c r="L65" s="554">
        <v>0</v>
      </c>
      <c r="M65" s="554">
        <v>5.0439999999999996</v>
      </c>
    </row>
    <row r="66" spans="1:13" s="1" customFormat="1">
      <c r="A66"/>
      <c r="B66" s="374" t="s">
        <v>1690</v>
      </c>
      <c r="C66" s="554">
        <v>0</v>
      </c>
      <c r="D66" s="554">
        <v>0</v>
      </c>
      <c r="E66" s="554">
        <v>7.7275000000000009</v>
      </c>
      <c r="F66" s="554">
        <v>0</v>
      </c>
      <c r="G66" s="554">
        <v>0</v>
      </c>
      <c r="H66" s="554">
        <v>6.4399999999999995</v>
      </c>
      <c r="I66" s="554">
        <v>157.03</v>
      </c>
      <c r="J66" s="554">
        <v>0</v>
      </c>
      <c r="K66" s="554">
        <v>187</v>
      </c>
      <c r="L66" s="554">
        <v>0</v>
      </c>
      <c r="M66" s="554">
        <v>358.19749999999993</v>
      </c>
    </row>
    <row r="67" spans="1:13" s="1" customFormat="1">
      <c r="B67" s="304" t="s">
        <v>1083</v>
      </c>
      <c r="C67" s="551">
        <v>0</v>
      </c>
      <c r="D67" s="551">
        <v>23.169999999999998</v>
      </c>
      <c r="E67" s="551">
        <v>20.75</v>
      </c>
      <c r="F67" s="551">
        <v>16.8</v>
      </c>
      <c r="G67" s="551">
        <v>150.86949999999999</v>
      </c>
      <c r="H67" s="551">
        <v>0</v>
      </c>
      <c r="I67" s="551">
        <v>0</v>
      </c>
      <c r="J67" s="551">
        <v>23.22</v>
      </c>
      <c r="K67" s="551">
        <v>0</v>
      </c>
      <c r="L67" s="551">
        <v>4</v>
      </c>
      <c r="M67" s="551">
        <v>238.80950000000001</v>
      </c>
    </row>
    <row r="68" spans="1:13">
      <c r="B68" s="374" t="s">
        <v>1689</v>
      </c>
      <c r="C68" s="554">
        <v>0</v>
      </c>
      <c r="D68" s="554">
        <v>0</v>
      </c>
      <c r="E68" s="554">
        <v>0</v>
      </c>
      <c r="F68" s="554">
        <v>0</v>
      </c>
      <c r="G68" s="554">
        <v>0</v>
      </c>
      <c r="H68" s="554">
        <v>0</v>
      </c>
      <c r="I68" s="554">
        <v>0</v>
      </c>
      <c r="J68" s="554">
        <v>0</v>
      </c>
      <c r="K68" s="554">
        <v>0</v>
      </c>
      <c r="L68" s="554">
        <v>0</v>
      </c>
      <c r="M68" s="554">
        <v>0</v>
      </c>
    </row>
    <row r="69" spans="1:13" s="1" customFormat="1">
      <c r="A69"/>
      <c r="B69" s="374" t="s">
        <v>1690</v>
      </c>
      <c r="C69" s="554">
        <v>0</v>
      </c>
      <c r="D69" s="554">
        <v>23.169999999999998</v>
      </c>
      <c r="E69" s="554">
        <v>20.75</v>
      </c>
      <c r="F69" s="554">
        <v>16.8</v>
      </c>
      <c r="G69" s="554">
        <v>150.86949999999999</v>
      </c>
      <c r="H69" s="554">
        <v>0</v>
      </c>
      <c r="I69" s="554">
        <v>0</v>
      </c>
      <c r="J69" s="554">
        <v>23.22</v>
      </c>
      <c r="K69" s="554">
        <v>0</v>
      </c>
      <c r="L69" s="554">
        <v>4</v>
      </c>
      <c r="M69" s="554">
        <v>238.80950000000001</v>
      </c>
    </row>
    <row r="70" spans="1:13" s="1" customFormat="1">
      <c r="B70" s="304" t="s">
        <v>1698</v>
      </c>
      <c r="C70" s="551">
        <v>1231.6469999999997</v>
      </c>
      <c r="D70" s="551">
        <v>0</v>
      </c>
      <c r="E70" s="551">
        <v>0</v>
      </c>
      <c r="F70" s="551">
        <v>0</v>
      </c>
      <c r="G70" s="551">
        <v>0</v>
      </c>
      <c r="H70" s="551">
        <v>1025.7800000000002</v>
      </c>
      <c r="I70" s="551">
        <v>329.83</v>
      </c>
      <c r="J70" s="551">
        <v>57.580000000000005</v>
      </c>
      <c r="K70" s="551">
        <v>205.78140999999997</v>
      </c>
      <c r="L70" s="551">
        <v>125</v>
      </c>
      <c r="M70" s="555">
        <v>2975.6184099999991</v>
      </c>
    </row>
    <row r="71" spans="1:13">
      <c r="B71" s="374" t="s">
        <v>1689</v>
      </c>
      <c r="C71" s="554">
        <v>0</v>
      </c>
      <c r="D71" s="554">
        <v>0</v>
      </c>
      <c r="E71" s="554">
        <v>0</v>
      </c>
      <c r="F71" s="554">
        <v>0</v>
      </c>
      <c r="G71" s="554">
        <v>0</v>
      </c>
      <c r="H71" s="554">
        <v>0</v>
      </c>
      <c r="I71" s="554">
        <v>0</v>
      </c>
      <c r="J71" s="554">
        <v>0</v>
      </c>
      <c r="K71" s="554">
        <v>0</v>
      </c>
      <c r="L71" s="554">
        <v>0</v>
      </c>
      <c r="M71" s="554">
        <v>0</v>
      </c>
    </row>
    <row r="72" spans="1:13" s="1" customFormat="1">
      <c r="A72"/>
      <c r="B72" s="374" t="s">
        <v>1690</v>
      </c>
      <c r="C72" s="554">
        <v>1231.6469999999997</v>
      </c>
      <c r="D72" s="554">
        <v>0</v>
      </c>
      <c r="E72" s="554">
        <v>0</v>
      </c>
      <c r="F72" s="554">
        <v>0</v>
      </c>
      <c r="G72" s="554">
        <v>0</v>
      </c>
      <c r="H72" s="554">
        <v>1025.7800000000002</v>
      </c>
      <c r="I72" s="554">
        <v>329.83</v>
      </c>
      <c r="J72" s="554">
        <v>57.580000000000005</v>
      </c>
      <c r="K72" s="554">
        <v>205.78140999999997</v>
      </c>
      <c r="L72" s="554">
        <v>125</v>
      </c>
      <c r="M72" s="556">
        <v>2975.6184099999991</v>
      </c>
    </row>
    <row r="73" spans="1:13" s="1" customFormat="1">
      <c r="B73" s="346" t="s">
        <v>1679</v>
      </c>
      <c r="C73" s="552">
        <v>26033.14</v>
      </c>
      <c r="D73" s="552">
        <v>362.26</v>
      </c>
      <c r="E73" s="552">
        <v>341.77</v>
      </c>
      <c r="F73" s="552">
        <v>19.2</v>
      </c>
      <c r="G73" s="552">
        <v>784.84199999999987</v>
      </c>
      <c r="H73" s="552">
        <v>356.05</v>
      </c>
      <c r="I73" s="552">
        <v>286.79319200000003</v>
      </c>
      <c r="J73" s="552">
        <v>56.234999999999992</v>
      </c>
      <c r="K73" s="552">
        <v>101.11199999999999</v>
      </c>
      <c r="L73" s="552">
        <v>363</v>
      </c>
      <c r="M73" s="553">
        <v>28704.402191999998</v>
      </c>
    </row>
    <row r="74" spans="1:13" s="1" customFormat="1" ht="27.6">
      <c r="B74" s="304" t="s">
        <v>1696</v>
      </c>
      <c r="C74" s="551">
        <v>0</v>
      </c>
      <c r="D74" s="551">
        <v>0</v>
      </c>
      <c r="E74" s="551">
        <v>0</v>
      </c>
      <c r="F74" s="551">
        <v>0</v>
      </c>
      <c r="G74" s="551">
        <v>0</v>
      </c>
      <c r="H74" s="551">
        <v>0</v>
      </c>
      <c r="I74" s="551">
        <v>0</v>
      </c>
      <c r="J74" s="551">
        <v>0</v>
      </c>
      <c r="K74" s="551">
        <v>0</v>
      </c>
      <c r="L74" s="551">
        <v>0</v>
      </c>
      <c r="M74" s="551">
        <v>0</v>
      </c>
    </row>
    <row r="75" spans="1:13">
      <c r="B75" s="374" t="s">
        <v>1689</v>
      </c>
      <c r="C75" s="554">
        <v>0</v>
      </c>
      <c r="D75" s="554">
        <v>0</v>
      </c>
      <c r="E75" s="554">
        <v>0</v>
      </c>
      <c r="F75" s="554">
        <v>0</v>
      </c>
      <c r="G75" s="554">
        <v>0</v>
      </c>
      <c r="H75" s="554">
        <v>0</v>
      </c>
      <c r="I75" s="554">
        <v>0</v>
      </c>
      <c r="J75" s="554">
        <v>0</v>
      </c>
      <c r="K75" s="554">
        <v>0</v>
      </c>
      <c r="L75" s="554">
        <v>0</v>
      </c>
      <c r="M75" s="554">
        <v>0</v>
      </c>
    </row>
    <row r="76" spans="1:13" s="1" customFormat="1">
      <c r="A76"/>
      <c r="B76" s="374" t="s">
        <v>1690</v>
      </c>
      <c r="C76" s="554">
        <v>0</v>
      </c>
      <c r="D76" s="554">
        <v>0</v>
      </c>
      <c r="E76" s="554">
        <v>0</v>
      </c>
      <c r="F76" s="554">
        <v>0</v>
      </c>
      <c r="G76" s="554">
        <v>0</v>
      </c>
      <c r="H76" s="554">
        <v>0</v>
      </c>
      <c r="I76" s="554">
        <v>0</v>
      </c>
      <c r="J76" s="554">
        <v>0</v>
      </c>
      <c r="K76" s="554">
        <v>0</v>
      </c>
      <c r="L76" s="554">
        <v>0</v>
      </c>
      <c r="M76" s="554">
        <v>0</v>
      </c>
    </row>
    <row r="77" spans="1:13" s="1" customFormat="1" ht="27.6">
      <c r="B77" s="304" t="s">
        <v>1697</v>
      </c>
      <c r="C77" s="551">
        <v>0</v>
      </c>
      <c r="D77" s="551">
        <v>0</v>
      </c>
      <c r="E77" s="551">
        <v>0</v>
      </c>
      <c r="F77" s="551">
        <v>0</v>
      </c>
      <c r="G77" s="551">
        <v>0</v>
      </c>
      <c r="H77" s="551">
        <v>0</v>
      </c>
      <c r="I77" s="551">
        <v>0</v>
      </c>
      <c r="J77" s="551">
        <v>31.774999999999999</v>
      </c>
      <c r="K77" s="551">
        <v>0</v>
      </c>
      <c r="L77" s="551">
        <v>0</v>
      </c>
      <c r="M77" s="551">
        <v>31.775000000000002</v>
      </c>
    </row>
    <row r="78" spans="1:13">
      <c r="B78" s="374" t="s">
        <v>1689</v>
      </c>
      <c r="C78" s="554">
        <v>0</v>
      </c>
      <c r="D78" s="554">
        <v>0</v>
      </c>
      <c r="E78" s="554">
        <v>0</v>
      </c>
      <c r="F78" s="554">
        <v>0</v>
      </c>
      <c r="G78" s="554">
        <v>0</v>
      </c>
      <c r="H78" s="554">
        <v>0</v>
      </c>
      <c r="I78" s="554">
        <v>0</v>
      </c>
      <c r="J78" s="554">
        <v>31.774999999999999</v>
      </c>
      <c r="K78" s="554">
        <v>0</v>
      </c>
      <c r="L78" s="554">
        <v>0</v>
      </c>
      <c r="M78" s="554">
        <v>31.775000000000002</v>
      </c>
    </row>
    <row r="79" spans="1:13" s="1" customFormat="1">
      <c r="A79"/>
      <c r="B79" s="374" t="s">
        <v>1690</v>
      </c>
      <c r="C79" s="554">
        <v>0</v>
      </c>
      <c r="D79" s="554">
        <v>0</v>
      </c>
      <c r="E79" s="554">
        <v>0</v>
      </c>
      <c r="F79" s="554">
        <v>0</v>
      </c>
      <c r="G79" s="554">
        <v>0</v>
      </c>
      <c r="H79" s="554">
        <v>0</v>
      </c>
      <c r="I79" s="554">
        <v>0</v>
      </c>
      <c r="J79" s="554">
        <v>0</v>
      </c>
      <c r="K79" s="554">
        <v>0</v>
      </c>
      <c r="L79" s="554">
        <v>0</v>
      </c>
      <c r="M79" s="554">
        <v>0</v>
      </c>
    </row>
    <row r="80" spans="1:13" s="1" customFormat="1">
      <c r="B80" s="304" t="s">
        <v>1083</v>
      </c>
      <c r="C80" s="551">
        <v>26033.14</v>
      </c>
      <c r="D80" s="551">
        <v>122.25999999999999</v>
      </c>
      <c r="E80" s="551">
        <v>341.77</v>
      </c>
      <c r="F80" s="551">
        <v>19.2</v>
      </c>
      <c r="G80" s="551">
        <v>784.84199999999987</v>
      </c>
      <c r="H80" s="551">
        <v>356.05</v>
      </c>
      <c r="I80" s="551">
        <v>286.79319200000003</v>
      </c>
      <c r="J80" s="551">
        <v>24.46</v>
      </c>
      <c r="K80" s="551">
        <v>88.62</v>
      </c>
      <c r="L80" s="551">
        <v>96</v>
      </c>
      <c r="M80" s="555">
        <v>28153.135191999994</v>
      </c>
    </row>
    <row r="81" spans="1:13">
      <c r="B81" s="374" t="s">
        <v>1689</v>
      </c>
      <c r="C81" s="554">
        <v>23081.800000000003</v>
      </c>
      <c r="D81" s="554">
        <v>0</v>
      </c>
      <c r="E81" s="554">
        <v>0</v>
      </c>
      <c r="F81" s="554">
        <v>0</v>
      </c>
      <c r="G81" s="554">
        <v>149.39500000000001</v>
      </c>
      <c r="H81" s="554">
        <v>356.05</v>
      </c>
      <c r="I81" s="554">
        <v>286.79319200000003</v>
      </c>
      <c r="J81" s="554">
        <v>0</v>
      </c>
      <c r="K81" s="554">
        <v>0</v>
      </c>
      <c r="L81" s="554">
        <v>0</v>
      </c>
      <c r="M81" s="556">
        <v>23874.038192000007</v>
      </c>
    </row>
    <row r="82" spans="1:13" s="1" customFormat="1">
      <c r="A82"/>
      <c r="B82" s="374" t="s">
        <v>1690</v>
      </c>
      <c r="C82" s="554">
        <v>2951.3399999999997</v>
      </c>
      <c r="D82" s="554">
        <v>122.25999999999999</v>
      </c>
      <c r="E82" s="554">
        <v>341.77</v>
      </c>
      <c r="F82" s="554">
        <v>19.2</v>
      </c>
      <c r="G82" s="554">
        <v>635.447</v>
      </c>
      <c r="H82" s="554">
        <v>0</v>
      </c>
      <c r="I82" s="554">
        <v>0</v>
      </c>
      <c r="J82" s="554">
        <v>24.46</v>
      </c>
      <c r="K82" s="554">
        <v>88.62</v>
      </c>
      <c r="L82" s="554">
        <v>96</v>
      </c>
      <c r="M82" s="556">
        <v>4279.0969999999988</v>
      </c>
    </row>
    <row r="83" spans="1:13" s="1" customFormat="1">
      <c r="B83" s="304" t="s">
        <v>1698</v>
      </c>
      <c r="C83" s="551">
        <v>0</v>
      </c>
      <c r="D83" s="551">
        <v>240</v>
      </c>
      <c r="E83" s="551">
        <v>0</v>
      </c>
      <c r="F83" s="551">
        <v>0</v>
      </c>
      <c r="G83" s="551">
        <v>0</v>
      </c>
      <c r="H83" s="551">
        <v>0</v>
      </c>
      <c r="I83" s="551">
        <v>0</v>
      </c>
      <c r="J83" s="551">
        <v>0</v>
      </c>
      <c r="K83" s="551">
        <v>12.491999999999999</v>
      </c>
      <c r="L83" s="551">
        <v>267</v>
      </c>
      <c r="M83" s="551">
        <v>519.49199999999996</v>
      </c>
    </row>
    <row r="84" spans="1:13">
      <c r="B84" s="374" t="s">
        <v>1689</v>
      </c>
      <c r="C84" s="554">
        <v>0</v>
      </c>
      <c r="D84" s="554">
        <v>240</v>
      </c>
      <c r="E84" s="554">
        <v>0</v>
      </c>
      <c r="F84" s="554">
        <v>0</v>
      </c>
      <c r="G84" s="554">
        <v>0</v>
      </c>
      <c r="H84" s="554">
        <v>0</v>
      </c>
      <c r="I84" s="554">
        <v>0</v>
      </c>
      <c r="J84" s="554">
        <v>0</v>
      </c>
      <c r="K84" s="554">
        <v>0</v>
      </c>
      <c r="L84" s="554" t="s">
        <v>1699</v>
      </c>
      <c r="M84" s="554">
        <v>240</v>
      </c>
    </row>
    <row r="85" spans="1:13" s="1" customFormat="1">
      <c r="A85"/>
      <c r="B85" s="374" t="s">
        <v>1690</v>
      </c>
      <c r="C85" s="554">
        <v>0</v>
      </c>
      <c r="D85" s="554">
        <v>0</v>
      </c>
      <c r="E85" s="554">
        <v>0</v>
      </c>
      <c r="F85" s="554">
        <v>0</v>
      </c>
      <c r="G85" s="554">
        <v>0</v>
      </c>
      <c r="H85" s="554">
        <v>0</v>
      </c>
      <c r="I85" s="554">
        <v>0</v>
      </c>
      <c r="J85" s="554">
        <v>0</v>
      </c>
      <c r="K85" s="554">
        <v>12.491999999999999</v>
      </c>
      <c r="L85" s="554">
        <v>267</v>
      </c>
      <c r="M85" s="554">
        <v>279.49200000000002</v>
      </c>
    </row>
    <row r="87" spans="1:13">
      <c r="B87" s="19" t="s">
        <v>1700</v>
      </c>
    </row>
    <row r="88" spans="1:13" s="20" customFormat="1">
      <c r="A88" s="13"/>
      <c r="B88" s="201" t="s">
        <v>1701</v>
      </c>
      <c r="C88" s="18"/>
      <c r="D88" s="18"/>
      <c r="E88" s="18"/>
      <c r="F88" s="18"/>
      <c r="G88" s="18"/>
      <c r="H88" s="18"/>
      <c r="I88" s="18"/>
      <c r="J88" s="18"/>
      <c r="K88" s="18"/>
    </row>
    <row r="90" spans="1:13" ht="39.75" customHeight="1">
      <c r="B90" s="122" t="s">
        <v>1079</v>
      </c>
      <c r="C90" s="122" t="s">
        <v>835</v>
      </c>
    </row>
    <row r="91" spans="1:13" ht="27.6">
      <c r="B91" s="230" t="s">
        <v>1702</v>
      </c>
      <c r="C91" s="492">
        <v>0</v>
      </c>
    </row>
    <row r="92" spans="1:13">
      <c r="B92" s="261" t="s">
        <v>1703</v>
      </c>
      <c r="C92" s="492">
        <v>0</v>
      </c>
    </row>
    <row r="93" spans="1:13" ht="201" customHeight="1">
      <c r="B93" s="566" t="s">
        <v>1704</v>
      </c>
      <c r="C93" s="566"/>
      <c r="D93" s="27"/>
      <c r="E93" s="27"/>
      <c r="F93" s="27"/>
    </row>
    <row r="94" spans="1:13">
      <c r="B94" s="16"/>
      <c r="C94" s="16"/>
      <c r="D94" s="16"/>
      <c r="E94" s="16"/>
      <c r="F94" s="16"/>
    </row>
    <row r="95" spans="1:13">
      <c r="B95" s="19" t="s">
        <v>130</v>
      </c>
    </row>
    <row r="96" spans="1:13" s="18" customFormat="1">
      <c r="A96" s="13"/>
      <c r="B96" s="201" t="s">
        <v>1705</v>
      </c>
    </row>
    <row r="98" spans="2:3" ht="38.25" customHeight="1">
      <c r="B98" s="101" t="s">
        <v>1706</v>
      </c>
      <c r="C98" s="122" t="s">
        <v>835</v>
      </c>
    </row>
    <row r="99" spans="2:3">
      <c r="B99" s="38" t="s">
        <v>1707</v>
      </c>
      <c r="C99" s="493">
        <v>0</v>
      </c>
    </row>
    <row r="100" spans="2:3">
      <c r="B100" s="38" t="s">
        <v>1708</v>
      </c>
      <c r="C100" s="493">
        <v>0</v>
      </c>
    </row>
  </sheetData>
  <mergeCells count="7">
    <mergeCell ref="B93:C93"/>
    <mergeCell ref="B53:M53"/>
    <mergeCell ref="B2:H2"/>
    <mergeCell ref="B6:K6"/>
    <mergeCell ref="B3:L3"/>
    <mergeCell ref="I2:J2"/>
    <mergeCell ref="B26:M26"/>
  </mergeCells>
  <phoneticPr fontId="11" type="noConversion"/>
  <hyperlinks>
    <hyperlink ref="B7" r:id="rId1" xr:uid="{E1D8EEE9-4ED3-4003-8436-CAEC793470ED}"/>
  </hyperlinks>
  <pageMargins left="0.7" right="0.7" top="0.75" bottom="0.75" header="0.3" footer="0.3"/>
  <drawing r:id="rId2"/>
  <tableParts count="7">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9D4B4-E514-44F3-B440-2E121723305C}">
  <dimension ref="A2:Q77"/>
  <sheetViews>
    <sheetView showGridLines="0" tabSelected="1" zoomScale="80" zoomScaleNormal="80" workbookViewId="0">
      <selection activeCell="B44" sqref="B44"/>
    </sheetView>
  </sheetViews>
  <sheetFormatPr defaultColWidth="8.88671875" defaultRowHeight="14.4"/>
  <cols>
    <col min="1" max="1" width="3.88671875" customWidth="1"/>
    <col min="2" max="10" width="25.6640625" customWidth="1"/>
    <col min="11" max="11" width="25.6640625" style="1" customWidth="1"/>
    <col min="12" max="14" width="25.6640625" customWidth="1"/>
    <col min="15" max="15" width="10.33203125" bestFit="1" customWidth="1"/>
  </cols>
  <sheetData>
    <row r="2" spans="1:13" ht="21">
      <c r="A2" s="19"/>
      <c r="B2" s="564" t="s">
        <v>1170</v>
      </c>
      <c r="C2" s="564"/>
      <c r="D2" s="564"/>
      <c r="E2" s="564"/>
      <c r="F2" s="564"/>
      <c r="G2" s="564"/>
      <c r="H2" s="564"/>
      <c r="J2" s="107"/>
      <c r="K2"/>
    </row>
    <row r="3" spans="1:13">
      <c r="A3" s="221"/>
      <c r="B3" s="565" t="s">
        <v>1238</v>
      </c>
      <c r="C3" s="565"/>
      <c r="D3" s="565"/>
      <c r="E3" s="565"/>
      <c r="F3" s="565"/>
      <c r="G3" s="565"/>
      <c r="H3" s="565"/>
      <c r="I3" s="565"/>
      <c r="J3" s="565"/>
      <c r="K3" s="565"/>
      <c r="L3" s="565"/>
      <c r="M3" s="63"/>
    </row>
    <row r="4" spans="1:13" ht="14.25" customHeight="1">
      <c r="K4"/>
    </row>
    <row r="5" spans="1:13" ht="18">
      <c r="B5" s="19" t="s">
        <v>1239</v>
      </c>
      <c r="C5" s="17"/>
      <c r="D5" s="17"/>
      <c r="E5" s="17"/>
      <c r="K5"/>
    </row>
    <row r="6" spans="1:13" s="18" customFormat="1">
      <c r="A6" s="13"/>
      <c r="B6" s="568" t="s">
        <v>1709</v>
      </c>
      <c r="C6" s="568"/>
      <c r="D6" s="568"/>
      <c r="E6" s="568"/>
      <c r="F6" s="568"/>
      <c r="G6" s="568"/>
      <c r="H6" s="568"/>
      <c r="I6" s="568"/>
      <c r="J6" s="568"/>
      <c r="K6" s="568"/>
    </row>
    <row r="7" spans="1:13" s="37" customFormat="1" ht="13.8">
      <c r="B7" s="458" t="s">
        <v>1710</v>
      </c>
    </row>
    <row r="8" spans="1:13">
      <c r="K8"/>
    </row>
    <row r="9" spans="1:13">
      <c r="B9" s="19" t="s">
        <v>1711</v>
      </c>
    </row>
    <row r="10" spans="1:13" s="18" customFormat="1">
      <c r="A10" s="13"/>
      <c r="B10" s="201" t="s">
        <v>1712</v>
      </c>
      <c r="C10" s="201"/>
      <c r="D10" s="201"/>
      <c r="E10" s="201"/>
      <c r="F10" s="201"/>
      <c r="G10" s="201"/>
      <c r="H10" s="201"/>
      <c r="I10" s="201"/>
      <c r="J10" s="201"/>
      <c r="K10" s="201"/>
      <c r="L10" s="201"/>
      <c r="M10" s="201"/>
    </row>
    <row r="11" spans="1:13">
      <c r="B11" s="37"/>
      <c r="C11" s="37"/>
      <c r="D11" s="37"/>
      <c r="E11" s="37"/>
      <c r="F11" s="37"/>
      <c r="G11" s="37"/>
      <c r="H11" s="37"/>
      <c r="I11" s="37"/>
      <c r="J11" s="37"/>
      <c r="K11" s="38"/>
      <c r="L11" s="37"/>
      <c r="M11" s="37"/>
    </row>
    <row r="12" spans="1:13" ht="28.8">
      <c r="B12" s="415" t="s">
        <v>1713</v>
      </c>
      <c r="C12" s="416" t="s">
        <v>1714</v>
      </c>
      <c r="D12" s="416" t="s">
        <v>747</v>
      </c>
      <c r="E12" s="416" t="s">
        <v>1715</v>
      </c>
      <c r="F12" s="416" t="s">
        <v>703</v>
      </c>
      <c r="G12" s="416" t="s">
        <v>755</v>
      </c>
      <c r="H12" s="416" t="s">
        <v>758</v>
      </c>
      <c r="I12" s="416" t="s">
        <v>761</v>
      </c>
      <c r="J12" s="416" t="s">
        <v>765</v>
      </c>
      <c r="K12" s="416" t="s">
        <v>768</v>
      </c>
      <c r="L12" s="416" t="s">
        <v>770</v>
      </c>
      <c r="M12" s="417" t="s">
        <v>835</v>
      </c>
    </row>
    <row r="13" spans="1:13">
      <c r="B13" s="408" t="s">
        <v>1107</v>
      </c>
      <c r="C13" s="418">
        <v>673748</v>
      </c>
      <c r="D13" s="418">
        <v>64609</v>
      </c>
      <c r="E13" s="419">
        <v>0</v>
      </c>
      <c r="F13" s="419">
        <v>0</v>
      </c>
      <c r="G13" s="419">
        <v>0</v>
      </c>
      <c r="H13" s="418">
        <v>486153</v>
      </c>
      <c r="I13" s="418">
        <v>41938.340000000011</v>
      </c>
      <c r="J13" s="418">
        <v>575993</v>
      </c>
      <c r="K13" s="418">
        <v>649759</v>
      </c>
      <c r="L13" s="418">
        <v>1146340.05</v>
      </c>
      <c r="M13" s="420">
        <f>SUM(C13:L13)</f>
        <v>3638540.3899999997</v>
      </c>
    </row>
    <row r="14" spans="1:13" ht="27.6">
      <c r="B14" s="409" t="s">
        <v>1716</v>
      </c>
      <c r="C14" s="421">
        <v>673748</v>
      </c>
      <c r="D14" s="421">
        <v>64609</v>
      </c>
      <c r="E14" s="422">
        <v>0</v>
      </c>
      <c r="F14" s="422">
        <v>0</v>
      </c>
      <c r="G14" s="422">
        <v>0</v>
      </c>
      <c r="H14" s="421">
        <v>486153</v>
      </c>
      <c r="I14" s="421">
        <v>41938.340000000011</v>
      </c>
      <c r="J14" s="421">
        <v>575993</v>
      </c>
      <c r="K14" s="421">
        <v>649759</v>
      </c>
      <c r="L14" s="421">
        <v>1146340.05</v>
      </c>
      <c r="M14" s="423">
        <v>3638540.3899999997</v>
      </c>
    </row>
    <row r="15" spans="1:13" ht="27.6">
      <c r="B15" s="409" t="s">
        <v>1717</v>
      </c>
      <c r="C15" s="422">
        <v>0</v>
      </c>
      <c r="D15" s="422">
        <v>0</v>
      </c>
      <c r="E15" s="422">
        <v>0</v>
      </c>
      <c r="F15" s="422">
        <v>0</v>
      </c>
      <c r="G15" s="422">
        <v>0</v>
      </c>
      <c r="H15" s="422">
        <v>0</v>
      </c>
      <c r="I15" s="422">
        <v>0</v>
      </c>
      <c r="J15" s="422">
        <v>0</v>
      </c>
      <c r="K15" s="422">
        <v>0</v>
      </c>
      <c r="L15" s="422">
        <v>0</v>
      </c>
      <c r="M15" s="424">
        <v>0</v>
      </c>
    </row>
    <row r="16" spans="1:13">
      <c r="B16" s="408" t="s">
        <v>1101</v>
      </c>
      <c r="C16" s="418">
        <v>9753</v>
      </c>
      <c r="D16" s="418">
        <v>12.034000000000001</v>
      </c>
      <c r="E16" s="418">
        <v>1595025.47</v>
      </c>
      <c r="F16" s="418">
        <v>107612.13287414254</v>
      </c>
      <c r="G16" s="418">
        <v>278797</v>
      </c>
      <c r="H16" s="418">
        <v>55850</v>
      </c>
      <c r="I16" s="418">
        <v>374542.57299999997</v>
      </c>
      <c r="J16" s="418">
        <v>12725</v>
      </c>
      <c r="K16" s="418">
        <v>1752050</v>
      </c>
      <c r="L16" s="419">
        <v>0</v>
      </c>
      <c r="M16" s="420">
        <v>4186367.2098741424</v>
      </c>
    </row>
    <row r="17" spans="1:13" ht="27.6">
      <c r="B17" s="409" t="s">
        <v>1716</v>
      </c>
      <c r="C17" s="421">
        <v>9753</v>
      </c>
      <c r="D17" s="421">
        <v>12.034000000000001</v>
      </c>
      <c r="E17" s="422">
        <v>0</v>
      </c>
      <c r="F17" s="421">
        <v>107612.13287414254</v>
      </c>
      <c r="G17" s="421">
        <v>278797</v>
      </c>
      <c r="H17" s="421">
        <v>55850</v>
      </c>
      <c r="I17" s="421">
        <v>374542.57299999997</v>
      </c>
      <c r="J17" s="421">
        <v>12725</v>
      </c>
      <c r="K17" s="421">
        <v>1735495</v>
      </c>
      <c r="L17" s="422">
        <v>0</v>
      </c>
      <c r="M17" s="423">
        <v>2574786.7398741422</v>
      </c>
    </row>
    <row r="18" spans="1:13" ht="27.6">
      <c r="B18" s="409" t="s">
        <v>1717</v>
      </c>
      <c r="C18" s="422">
        <v>0</v>
      </c>
      <c r="D18" s="422">
        <v>0</v>
      </c>
      <c r="E18" s="421">
        <v>1595025.47</v>
      </c>
      <c r="F18" s="422">
        <v>0</v>
      </c>
      <c r="G18" s="422">
        <v>0</v>
      </c>
      <c r="H18" s="422">
        <v>0</v>
      </c>
      <c r="I18" s="422">
        <v>0</v>
      </c>
      <c r="J18" s="422">
        <v>0</v>
      </c>
      <c r="K18" s="421">
        <v>16555</v>
      </c>
      <c r="L18" s="422">
        <v>0</v>
      </c>
      <c r="M18" s="423">
        <v>1611580.47</v>
      </c>
    </row>
    <row r="19" spans="1:13">
      <c r="B19" s="408" t="s">
        <v>1718</v>
      </c>
      <c r="C19" s="419">
        <v>0</v>
      </c>
      <c r="D19" s="419">
        <v>0</v>
      </c>
      <c r="E19" s="419">
        <v>0</v>
      </c>
      <c r="F19" s="419">
        <v>0</v>
      </c>
      <c r="G19" s="419">
        <v>0</v>
      </c>
      <c r="H19" s="419">
        <v>0</v>
      </c>
      <c r="I19" s="419">
        <v>0</v>
      </c>
      <c r="J19" s="419">
        <v>0</v>
      </c>
      <c r="K19" s="419">
        <v>0</v>
      </c>
      <c r="L19" s="419">
        <v>0</v>
      </c>
      <c r="M19" s="425">
        <v>0</v>
      </c>
    </row>
    <row r="20" spans="1:13" ht="27.6">
      <c r="B20" s="409" t="s">
        <v>1716</v>
      </c>
      <c r="C20" s="426">
        <v>0</v>
      </c>
      <c r="D20" s="426">
        <v>0</v>
      </c>
      <c r="E20" s="426">
        <v>0</v>
      </c>
      <c r="F20" s="426">
        <v>0</v>
      </c>
      <c r="G20" s="426">
        <v>0</v>
      </c>
      <c r="H20" s="426">
        <v>0</v>
      </c>
      <c r="I20" s="426">
        <v>0</v>
      </c>
      <c r="J20" s="426">
        <v>0</v>
      </c>
      <c r="K20" s="426">
        <v>0</v>
      </c>
      <c r="L20" s="426">
        <v>0</v>
      </c>
      <c r="M20" s="424">
        <v>0</v>
      </c>
    </row>
    <row r="21" spans="1:13" ht="27.6">
      <c r="B21" s="409" t="s">
        <v>1717</v>
      </c>
      <c r="C21" s="426">
        <v>0</v>
      </c>
      <c r="D21" s="426">
        <v>0</v>
      </c>
      <c r="E21" s="426">
        <v>0</v>
      </c>
      <c r="F21" s="426">
        <v>0</v>
      </c>
      <c r="G21" s="426">
        <v>0</v>
      </c>
      <c r="H21" s="426">
        <v>0</v>
      </c>
      <c r="I21" s="426">
        <v>0</v>
      </c>
      <c r="J21" s="426">
        <v>0</v>
      </c>
      <c r="K21" s="426">
        <v>0</v>
      </c>
      <c r="L21" s="426">
        <v>0</v>
      </c>
      <c r="M21" s="424">
        <v>0</v>
      </c>
    </row>
    <row r="22" spans="1:13">
      <c r="B22" s="408" t="s">
        <v>1719</v>
      </c>
      <c r="C22" s="418">
        <v>1450891</v>
      </c>
      <c r="D22" s="418">
        <v>858120</v>
      </c>
      <c r="E22" s="419">
        <v>0</v>
      </c>
      <c r="F22" s="419">
        <v>0</v>
      </c>
      <c r="G22" s="419">
        <v>0</v>
      </c>
      <c r="H22" s="418">
        <v>136406</v>
      </c>
      <c r="I22" s="418">
        <v>2160000</v>
      </c>
      <c r="J22" s="418">
        <v>6361225</v>
      </c>
      <c r="K22" s="418">
        <v>917631</v>
      </c>
      <c r="L22" s="418">
        <v>2441</v>
      </c>
      <c r="M22" s="420">
        <v>11886714</v>
      </c>
    </row>
    <row r="23" spans="1:13">
      <c r="B23" s="408" t="s">
        <v>1720</v>
      </c>
      <c r="C23" s="418">
        <v>21228.1</v>
      </c>
      <c r="D23" s="418">
        <v>38.975999999999999</v>
      </c>
      <c r="E23" s="419">
        <v>0</v>
      </c>
      <c r="F23" s="419">
        <v>0</v>
      </c>
      <c r="G23" s="419">
        <v>0</v>
      </c>
      <c r="H23" s="418">
        <v>8569</v>
      </c>
      <c r="I23" s="418">
        <v>4273.8100000000004</v>
      </c>
      <c r="J23" s="419">
        <v>0</v>
      </c>
      <c r="K23" s="418">
        <v>159373</v>
      </c>
      <c r="L23" s="418">
        <v>8660</v>
      </c>
      <c r="M23" s="420">
        <v>202142.886</v>
      </c>
    </row>
    <row r="24" spans="1:13" ht="27.6">
      <c r="B24" s="427" t="s">
        <v>1716</v>
      </c>
      <c r="C24" s="428">
        <v>21228.1</v>
      </c>
      <c r="D24" s="428">
        <v>38.975999999999999</v>
      </c>
      <c r="E24" s="429">
        <v>0</v>
      </c>
      <c r="F24" s="429">
        <v>0</v>
      </c>
      <c r="G24" s="429">
        <v>0</v>
      </c>
      <c r="H24" s="428">
        <v>8569</v>
      </c>
      <c r="I24" s="428">
        <v>4273.8100000000004</v>
      </c>
      <c r="J24" s="429">
        <v>0</v>
      </c>
      <c r="K24" s="428">
        <v>159373</v>
      </c>
      <c r="L24" s="428">
        <v>8660</v>
      </c>
      <c r="M24" s="430">
        <v>202142.886</v>
      </c>
    </row>
    <row r="25" spans="1:13" ht="28.2" thickBot="1">
      <c r="B25" s="434" t="s">
        <v>1717</v>
      </c>
      <c r="C25" s="435">
        <v>0</v>
      </c>
      <c r="D25" s="435">
        <v>0</v>
      </c>
      <c r="E25" s="435">
        <v>0</v>
      </c>
      <c r="F25" s="435">
        <v>0</v>
      </c>
      <c r="G25" s="435">
        <v>0</v>
      </c>
      <c r="H25" s="435">
        <v>0</v>
      </c>
      <c r="I25" s="435">
        <v>0</v>
      </c>
      <c r="J25" s="435">
        <v>0</v>
      </c>
      <c r="K25" s="435">
        <v>0</v>
      </c>
      <c r="L25" s="435">
        <v>0</v>
      </c>
      <c r="M25" s="436">
        <v>0</v>
      </c>
    </row>
    <row r="26" spans="1:13" ht="15" thickTop="1">
      <c r="B26" s="431" t="s">
        <v>1721</v>
      </c>
      <c r="C26" s="432">
        <f>SUM(C13+C16+C22+C23)</f>
        <v>2155620.1</v>
      </c>
      <c r="D26" s="432">
        <f t="shared" ref="D26:L26" si="0">SUM(D13+D16+D22+D23)</f>
        <v>922780.01</v>
      </c>
      <c r="E26" s="432">
        <f>SUM(E13+E16+E22+E23)</f>
        <v>1595025.47</v>
      </c>
      <c r="F26" s="432">
        <f>SUM(F13+F16+F22+F23)</f>
        <v>107612.13287414254</v>
      </c>
      <c r="G26" s="432">
        <f t="shared" si="0"/>
        <v>278797</v>
      </c>
      <c r="H26" s="432">
        <f t="shared" si="0"/>
        <v>686978</v>
      </c>
      <c r="I26" s="432">
        <f t="shared" si="0"/>
        <v>2580754.7230000002</v>
      </c>
      <c r="J26" s="432">
        <f t="shared" si="0"/>
        <v>6949943</v>
      </c>
      <c r="K26" s="432">
        <f t="shared" si="0"/>
        <v>3478813</v>
      </c>
      <c r="L26" s="432">
        <f t="shared" si="0"/>
        <v>1157441.05</v>
      </c>
      <c r="M26" s="433">
        <f>SUM(C26:L26)</f>
        <v>19913764.485874142</v>
      </c>
    </row>
    <row r="27" spans="1:13" ht="90.75" customHeight="1">
      <c r="B27" s="567" t="s">
        <v>1722</v>
      </c>
      <c r="C27" s="567"/>
      <c r="D27" s="567"/>
      <c r="E27" s="567"/>
      <c r="F27" s="567"/>
      <c r="G27" s="567"/>
      <c r="H27" s="567"/>
      <c r="I27" s="567"/>
      <c r="J27" s="567"/>
      <c r="K27" s="567"/>
      <c r="L27" s="567"/>
      <c r="M27" s="567"/>
    </row>
    <row r="28" spans="1:13">
      <c r="B28" s="21"/>
      <c r="C28" s="21"/>
      <c r="D28" s="21"/>
      <c r="E28" s="21"/>
      <c r="F28" s="21"/>
      <c r="G28" s="21"/>
      <c r="H28" s="21"/>
      <c r="I28" s="21"/>
      <c r="J28" s="21"/>
      <c r="K28" s="21"/>
      <c r="L28" s="21"/>
    </row>
    <row r="29" spans="1:13">
      <c r="B29" s="19" t="s">
        <v>1723</v>
      </c>
    </row>
    <row r="30" spans="1:13" s="22" customFormat="1">
      <c r="A30" s="3"/>
      <c r="B30" s="201" t="s">
        <v>1724</v>
      </c>
      <c r="K30" s="18"/>
    </row>
    <row r="32" spans="1:13" ht="28.8">
      <c r="B32" s="401" t="s">
        <v>1725</v>
      </c>
      <c r="C32" s="217" t="s">
        <v>744</v>
      </c>
      <c r="D32" s="217" t="s">
        <v>747</v>
      </c>
      <c r="E32" s="217" t="s">
        <v>1726</v>
      </c>
      <c r="F32" s="217" t="s">
        <v>703</v>
      </c>
      <c r="G32" s="217" t="s">
        <v>755</v>
      </c>
      <c r="H32" s="217" t="s">
        <v>758</v>
      </c>
      <c r="I32" s="218" t="s">
        <v>761</v>
      </c>
      <c r="J32" s="218" t="s">
        <v>765</v>
      </c>
      <c r="K32" s="217" t="s">
        <v>768</v>
      </c>
      <c r="L32" s="219" t="s">
        <v>770</v>
      </c>
      <c r="M32" s="216" t="s">
        <v>835</v>
      </c>
    </row>
    <row r="33" spans="1:15" s="1" customFormat="1">
      <c r="B33" s="442" t="s">
        <v>1727</v>
      </c>
      <c r="C33" s="410"/>
      <c r="D33" s="410"/>
      <c r="E33" s="410"/>
      <c r="F33" s="410"/>
      <c r="G33" s="410"/>
      <c r="H33" s="410"/>
      <c r="I33" s="410"/>
      <c r="J33" s="410"/>
      <c r="K33" s="410"/>
      <c r="L33" s="410"/>
      <c r="M33" s="410"/>
    </row>
    <row r="34" spans="1:15">
      <c r="B34" s="413" t="s">
        <v>1107</v>
      </c>
      <c r="C34" s="411">
        <v>2278263</v>
      </c>
      <c r="D34" s="412">
        <v>0</v>
      </c>
      <c r="E34" s="412">
        <v>0</v>
      </c>
      <c r="F34" s="412">
        <v>0</v>
      </c>
      <c r="G34" s="412">
        <v>0</v>
      </c>
      <c r="H34" s="411">
        <v>260952</v>
      </c>
      <c r="I34" s="411">
        <v>1895423</v>
      </c>
      <c r="J34" s="412">
        <v>0</v>
      </c>
      <c r="K34" s="412">
        <v>0</v>
      </c>
      <c r="L34" s="411">
        <v>237335</v>
      </c>
      <c r="M34" s="411">
        <f>SUM(Table41[[#This Row],[Greenstone]:[RDM]])</f>
        <v>4671973</v>
      </c>
    </row>
    <row r="35" spans="1:15">
      <c r="B35" s="413" t="s">
        <v>1101</v>
      </c>
      <c r="C35" s="412">
        <v>0</v>
      </c>
      <c r="D35" s="412">
        <v>0</v>
      </c>
      <c r="E35" s="412">
        <v>0</v>
      </c>
      <c r="F35" s="412">
        <v>0</v>
      </c>
      <c r="G35" s="411">
        <v>12103.859999999999</v>
      </c>
      <c r="H35" s="412">
        <v>0</v>
      </c>
      <c r="I35" s="412">
        <v>0</v>
      </c>
      <c r="J35" s="412">
        <v>0</v>
      </c>
      <c r="K35" s="412">
        <v>0</v>
      </c>
      <c r="L35" s="412">
        <v>0</v>
      </c>
      <c r="M35" s="411">
        <f>SUM(Table41[[#This Row],[Greenstone]:[RDM]])</f>
        <v>12103.859999999999</v>
      </c>
    </row>
    <row r="36" spans="1:15">
      <c r="B36" s="413" t="s">
        <v>1105</v>
      </c>
      <c r="C36" s="412">
        <v>0</v>
      </c>
      <c r="D36" s="412">
        <v>0</v>
      </c>
      <c r="E36" s="412">
        <v>0</v>
      </c>
      <c r="F36" s="412">
        <v>0</v>
      </c>
      <c r="G36" s="412">
        <v>0</v>
      </c>
      <c r="H36" s="412">
        <v>0</v>
      </c>
      <c r="I36" s="412">
        <v>0</v>
      </c>
      <c r="J36" s="411">
        <v>7280079</v>
      </c>
      <c r="K36" s="412">
        <v>0</v>
      </c>
      <c r="L36" s="412">
        <v>0</v>
      </c>
      <c r="M36" s="411">
        <f>SUM(Table41[[#This Row],[Greenstone]:[RDM]])</f>
        <v>7280079</v>
      </c>
    </row>
    <row r="37" spans="1:15">
      <c r="B37" s="413" t="s">
        <v>1728</v>
      </c>
      <c r="C37" s="412">
        <v>0</v>
      </c>
      <c r="D37" s="412">
        <v>0</v>
      </c>
      <c r="E37" s="412">
        <v>0</v>
      </c>
      <c r="F37" s="412">
        <v>0</v>
      </c>
      <c r="G37" s="412">
        <v>0</v>
      </c>
      <c r="H37" s="412">
        <v>0</v>
      </c>
      <c r="I37" s="412">
        <v>0</v>
      </c>
      <c r="J37" s="412">
        <v>0</v>
      </c>
      <c r="K37" s="411">
        <v>1602</v>
      </c>
      <c r="L37" s="412">
        <v>0</v>
      </c>
      <c r="M37" s="411">
        <f>SUM(Table41[[#This Row],[Greenstone]:[RDM]])</f>
        <v>1602</v>
      </c>
    </row>
    <row r="38" spans="1:15" s="1" customFormat="1">
      <c r="B38" s="442" t="s">
        <v>1729</v>
      </c>
      <c r="C38" s="410"/>
      <c r="D38" s="410"/>
      <c r="E38" s="410"/>
      <c r="F38" s="410"/>
      <c r="G38" s="410"/>
      <c r="H38" s="410"/>
      <c r="I38" s="410"/>
      <c r="J38" s="410"/>
      <c r="K38" s="410"/>
      <c r="L38" s="411"/>
      <c r="M38" s="411"/>
    </row>
    <row r="39" spans="1:15">
      <c r="B39" s="413" t="s">
        <v>1099</v>
      </c>
      <c r="C39" s="270">
        <f>SUM(C34:C37)</f>
        <v>2278263</v>
      </c>
      <c r="D39" s="402">
        <v>0</v>
      </c>
      <c r="E39" s="402">
        <v>0</v>
      </c>
      <c r="F39" s="402">
        <v>0</v>
      </c>
      <c r="G39" s="402">
        <v>0</v>
      </c>
      <c r="H39" s="270">
        <v>260952</v>
      </c>
      <c r="I39" s="270">
        <v>1895423</v>
      </c>
      <c r="J39" s="270">
        <f>J36</f>
        <v>7280079</v>
      </c>
      <c r="K39" s="270">
        <v>1602</v>
      </c>
      <c r="L39" s="270">
        <v>237335</v>
      </c>
      <c r="M39" s="270">
        <f>SUM(Table41[[#This Row],[Greenstone]:[RDM]])</f>
        <v>11953654</v>
      </c>
    </row>
    <row r="40" spans="1:15" ht="15" thickBot="1">
      <c r="B40" s="414" t="s">
        <v>1730</v>
      </c>
      <c r="C40" s="403">
        <v>0</v>
      </c>
      <c r="D40" s="403">
        <v>0</v>
      </c>
      <c r="E40" s="403">
        <v>0</v>
      </c>
      <c r="F40" s="403">
        <v>0</v>
      </c>
      <c r="G40" s="404">
        <v>12103.859999999999</v>
      </c>
      <c r="H40" s="405">
        <v>0</v>
      </c>
      <c r="I40" s="405">
        <v>0</v>
      </c>
      <c r="J40" s="405">
        <v>0</v>
      </c>
      <c r="K40" s="405">
        <v>0</v>
      </c>
      <c r="L40" s="405">
        <v>0</v>
      </c>
      <c r="M40" s="405">
        <f>SUM(Table41[[#This Row],[Greenstone]:[RDM]])</f>
        <v>12103.859999999999</v>
      </c>
    </row>
    <row r="41" spans="1:15" s="1" customFormat="1" ht="15" thickTop="1">
      <c r="B41" s="286" t="s">
        <v>1731</v>
      </c>
      <c r="C41" s="406">
        <f>C39+C40</f>
        <v>2278263</v>
      </c>
      <c r="D41" s="407">
        <f t="shared" ref="D41:M41" si="1">D39+D40</f>
        <v>0</v>
      </c>
      <c r="E41" s="407">
        <f>E39+E40</f>
        <v>0</v>
      </c>
      <c r="F41" s="407">
        <f t="shared" si="1"/>
        <v>0</v>
      </c>
      <c r="G41" s="406">
        <f t="shared" si="1"/>
        <v>12103.859999999999</v>
      </c>
      <c r="H41" s="406">
        <f t="shared" si="1"/>
        <v>260952</v>
      </c>
      <c r="I41" s="406">
        <f t="shared" si="1"/>
        <v>1895423</v>
      </c>
      <c r="J41" s="406">
        <f t="shared" si="1"/>
        <v>7280079</v>
      </c>
      <c r="K41" s="406">
        <f t="shared" si="1"/>
        <v>1602</v>
      </c>
      <c r="L41" s="406">
        <f t="shared" si="1"/>
        <v>237335</v>
      </c>
      <c r="M41" s="406">
        <f t="shared" si="1"/>
        <v>11965757.859999999</v>
      </c>
    </row>
    <row r="42" spans="1:15" ht="69.75" customHeight="1">
      <c r="B42" s="566" t="s">
        <v>1732</v>
      </c>
      <c r="C42" s="566"/>
      <c r="D42" s="566"/>
      <c r="E42" s="566"/>
      <c r="F42" s="566"/>
      <c r="G42" s="566"/>
      <c r="H42" s="566"/>
      <c r="I42" s="566"/>
      <c r="J42" s="566"/>
      <c r="K42" s="566"/>
      <c r="L42" s="566"/>
      <c r="M42" s="566"/>
    </row>
    <row r="43" spans="1:15">
      <c r="O43" s="74"/>
    </row>
    <row r="44" spans="1:15">
      <c r="B44" s="19" t="s">
        <v>1733</v>
      </c>
    </row>
    <row r="45" spans="1:15" s="18" customFormat="1">
      <c r="A45" s="13"/>
      <c r="B45" s="201" t="s">
        <v>1734</v>
      </c>
    </row>
    <row r="47" spans="1:15" s="43" customFormat="1" ht="27.6">
      <c r="B47" s="437" t="s">
        <v>1735</v>
      </c>
      <c r="C47" s="202" t="s">
        <v>744</v>
      </c>
      <c r="D47" s="202" t="s">
        <v>747</v>
      </c>
      <c r="E47" s="202" t="s">
        <v>750</v>
      </c>
      <c r="F47" s="202" t="s">
        <v>703</v>
      </c>
      <c r="G47" s="202" t="s">
        <v>755</v>
      </c>
      <c r="H47" s="202" t="s">
        <v>758</v>
      </c>
      <c r="I47" s="202" t="s">
        <v>761</v>
      </c>
      <c r="J47" s="202" t="s">
        <v>765</v>
      </c>
      <c r="K47" s="202" t="s">
        <v>768</v>
      </c>
      <c r="L47" s="438" t="s">
        <v>770</v>
      </c>
    </row>
    <row r="48" spans="1:15">
      <c r="B48" s="230" t="s">
        <v>1736</v>
      </c>
      <c r="C48" s="493" t="s">
        <v>1258</v>
      </c>
      <c r="D48" s="493" t="s">
        <v>1258</v>
      </c>
      <c r="E48" s="493" t="s">
        <v>1259</v>
      </c>
      <c r="F48" s="493" t="s">
        <v>1259</v>
      </c>
      <c r="G48" s="493" t="s">
        <v>1258</v>
      </c>
      <c r="H48" s="493" t="s">
        <v>1259</v>
      </c>
      <c r="I48" s="493" t="s">
        <v>1258</v>
      </c>
      <c r="J48" s="493" t="s">
        <v>1259</v>
      </c>
      <c r="K48" s="493" t="s">
        <v>1258</v>
      </c>
      <c r="L48" s="493" t="s">
        <v>1259</v>
      </c>
    </row>
    <row r="49" spans="1:17">
      <c r="B49" s="230" t="s">
        <v>1737</v>
      </c>
      <c r="C49" s="492" t="s">
        <v>1258</v>
      </c>
      <c r="D49" s="492" t="s">
        <v>1258</v>
      </c>
      <c r="E49" s="492" t="s">
        <v>1259</v>
      </c>
      <c r="F49" s="492" t="s">
        <v>1259</v>
      </c>
      <c r="G49" s="492" t="s">
        <v>1258</v>
      </c>
      <c r="H49" s="492" t="s">
        <v>1259</v>
      </c>
      <c r="I49" s="492" t="s">
        <v>1258</v>
      </c>
      <c r="J49" s="492" t="s">
        <v>1259</v>
      </c>
      <c r="K49" s="492" t="s">
        <v>1258</v>
      </c>
      <c r="L49" s="492" t="s">
        <v>1259</v>
      </c>
    </row>
    <row r="50" spans="1:17" ht="27.6">
      <c r="B50" s="230" t="s">
        <v>1738</v>
      </c>
      <c r="C50" s="492" t="s">
        <v>1259</v>
      </c>
      <c r="D50" s="492" t="s">
        <v>1259</v>
      </c>
      <c r="E50" s="492" t="s">
        <v>1259</v>
      </c>
      <c r="F50" s="492" t="s">
        <v>1259</v>
      </c>
      <c r="G50" s="492" t="s">
        <v>1259</v>
      </c>
      <c r="H50" s="492" t="s">
        <v>1259</v>
      </c>
      <c r="I50" s="492" t="s">
        <v>1258</v>
      </c>
      <c r="J50" s="492" t="s">
        <v>1259</v>
      </c>
      <c r="K50" s="492" t="s">
        <v>1259</v>
      </c>
      <c r="L50" s="492" t="s">
        <v>1259</v>
      </c>
      <c r="N50" s="4"/>
    </row>
    <row r="52" spans="1:17">
      <c r="B52" s="19" t="s">
        <v>1739</v>
      </c>
      <c r="K52"/>
    </row>
    <row r="53" spans="1:17" s="20" customFormat="1">
      <c r="A53" s="13"/>
      <c r="B53" s="201" t="s">
        <v>1740</v>
      </c>
      <c r="C53" s="18"/>
      <c r="D53" s="18"/>
      <c r="E53" s="18"/>
      <c r="F53" s="18"/>
      <c r="G53" s="18"/>
      <c r="H53" s="18"/>
      <c r="I53" s="18"/>
      <c r="J53" s="18"/>
      <c r="K53" s="18"/>
    </row>
    <row r="54" spans="1:17">
      <c r="K54"/>
    </row>
    <row r="55" spans="1:17" ht="57" customHeight="1">
      <c r="B55" s="122" t="s">
        <v>1741</v>
      </c>
      <c r="C55" s="122" t="s">
        <v>835</v>
      </c>
      <c r="K55"/>
    </row>
    <row r="56" spans="1:17">
      <c r="B56" s="38" t="s">
        <v>1742</v>
      </c>
      <c r="C56" s="493">
        <v>0</v>
      </c>
      <c r="K56"/>
    </row>
    <row r="57" spans="1:17" ht="102" customHeight="1">
      <c r="B57" s="566" t="s">
        <v>1743</v>
      </c>
      <c r="C57" s="566"/>
      <c r="D57" s="566"/>
      <c r="E57" s="27"/>
      <c r="F57" s="27"/>
      <c r="K57"/>
    </row>
    <row r="59" spans="1:17">
      <c r="B59" s="19" t="s">
        <v>1744</v>
      </c>
    </row>
    <row r="60" spans="1:17" ht="31.5" customHeight="1">
      <c r="B60" s="376" t="s">
        <v>1745</v>
      </c>
      <c r="C60" s="377" t="s">
        <v>932</v>
      </c>
      <c r="D60" s="377" t="s">
        <v>1746</v>
      </c>
      <c r="E60" s="377" t="s">
        <v>1747</v>
      </c>
      <c r="F60" s="377" t="s">
        <v>703</v>
      </c>
      <c r="G60" s="377" t="s">
        <v>755</v>
      </c>
      <c r="H60" s="377" t="s">
        <v>765</v>
      </c>
      <c r="I60" s="377" t="s">
        <v>1748</v>
      </c>
      <c r="J60" s="377" t="s">
        <v>770</v>
      </c>
      <c r="K60" s="377" t="s">
        <v>1749</v>
      </c>
      <c r="L60" s="377" t="s">
        <v>1364</v>
      </c>
      <c r="M60" s="378" t="s">
        <v>1750</v>
      </c>
      <c r="Q60" s="1"/>
    </row>
    <row r="61" spans="1:17">
      <c r="B61" s="439" t="s">
        <v>1751</v>
      </c>
      <c r="C61" s="379" t="s">
        <v>1752</v>
      </c>
      <c r="D61" s="380">
        <v>286339</v>
      </c>
      <c r="E61" s="380">
        <v>0</v>
      </c>
      <c r="F61" s="380">
        <v>0</v>
      </c>
      <c r="G61" s="380">
        <v>0</v>
      </c>
      <c r="H61" s="380">
        <v>2825250</v>
      </c>
      <c r="I61" s="381">
        <v>1163242</v>
      </c>
      <c r="J61" s="381">
        <v>442384</v>
      </c>
      <c r="K61" s="381">
        <v>192820</v>
      </c>
      <c r="L61" s="381">
        <f>SUM(D61:K61)</f>
        <v>4910035</v>
      </c>
      <c r="M61" s="382"/>
      <c r="Q61" s="1"/>
    </row>
    <row r="62" spans="1:17">
      <c r="B62" s="440" t="s">
        <v>1753</v>
      </c>
      <c r="C62" s="379" t="s">
        <v>1752</v>
      </c>
      <c r="D62" s="380">
        <v>3551</v>
      </c>
      <c r="E62" s="380">
        <v>0</v>
      </c>
      <c r="F62" s="380">
        <v>441.1</v>
      </c>
      <c r="G62" s="380">
        <v>0</v>
      </c>
      <c r="H62" s="380">
        <v>0</v>
      </c>
      <c r="I62" s="381">
        <v>9650</v>
      </c>
      <c r="J62" s="381">
        <v>9480</v>
      </c>
      <c r="K62" s="381">
        <v>840</v>
      </c>
      <c r="L62" s="381">
        <f t="shared" ref="L62:L73" si="2">SUM(D62:K62)</f>
        <v>23962.1</v>
      </c>
      <c r="M62" s="382"/>
      <c r="Q62" s="1"/>
    </row>
    <row r="63" spans="1:17">
      <c r="B63" s="439" t="s">
        <v>1754</v>
      </c>
      <c r="C63" s="379" t="s">
        <v>1752</v>
      </c>
      <c r="D63" s="380">
        <v>413</v>
      </c>
      <c r="E63" s="380">
        <v>0</v>
      </c>
      <c r="F63" s="380">
        <v>462439</v>
      </c>
      <c r="G63" s="380">
        <v>1032068</v>
      </c>
      <c r="H63" s="380">
        <v>7726</v>
      </c>
      <c r="I63" s="381">
        <v>1246750</v>
      </c>
      <c r="J63" s="383">
        <v>0</v>
      </c>
      <c r="K63" s="383">
        <v>45606.17</v>
      </c>
      <c r="L63" s="381">
        <f t="shared" si="2"/>
        <v>2795002.17</v>
      </c>
      <c r="M63" s="382"/>
      <c r="Q63" s="1"/>
    </row>
    <row r="64" spans="1:17">
      <c r="B64" s="439" t="s">
        <v>1755</v>
      </c>
      <c r="C64" s="379" t="s">
        <v>1752</v>
      </c>
      <c r="D64" s="380">
        <v>1120</v>
      </c>
      <c r="E64" s="380">
        <v>0</v>
      </c>
      <c r="F64" s="380">
        <v>0</v>
      </c>
      <c r="G64" s="380">
        <v>0</v>
      </c>
      <c r="H64" s="380">
        <v>525522.19999999995</v>
      </c>
      <c r="I64" s="383">
        <v>0</v>
      </c>
      <c r="J64" s="383">
        <v>0</v>
      </c>
      <c r="K64" s="383">
        <v>1280092.5900000001</v>
      </c>
      <c r="L64" s="381">
        <f t="shared" si="2"/>
        <v>1806734.79</v>
      </c>
      <c r="M64" s="382"/>
      <c r="Q64" s="1"/>
    </row>
    <row r="65" spans="2:17">
      <c r="B65" s="439" t="s">
        <v>1756</v>
      </c>
      <c r="C65" s="379" t="s">
        <v>1752</v>
      </c>
      <c r="D65" s="380">
        <v>459871</v>
      </c>
      <c r="E65" s="380">
        <v>0</v>
      </c>
      <c r="F65" s="380">
        <v>64680</v>
      </c>
      <c r="G65" s="380">
        <v>361711.74</v>
      </c>
      <c r="H65" s="380">
        <v>4095.4479999999999</v>
      </c>
      <c r="I65" s="383">
        <v>0</v>
      </c>
      <c r="J65" s="381">
        <v>1123540.56</v>
      </c>
      <c r="K65" s="381">
        <v>0</v>
      </c>
      <c r="L65" s="381">
        <f t="shared" si="2"/>
        <v>2013898.7480000001</v>
      </c>
      <c r="M65" s="382"/>
      <c r="Q65" s="1"/>
    </row>
    <row r="66" spans="2:17" s="1" customFormat="1">
      <c r="B66" s="384" t="s">
        <v>1757</v>
      </c>
      <c r="C66" s="385" t="s">
        <v>1752</v>
      </c>
      <c r="D66" s="386">
        <v>751294</v>
      </c>
      <c r="E66" s="386">
        <v>0</v>
      </c>
      <c r="F66" s="386">
        <v>527560.1</v>
      </c>
      <c r="G66" s="386">
        <v>1393779.74</v>
      </c>
      <c r="H66" s="386">
        <v>3362593.648</v>
      </c>
      <c r="I66" s="387">
        <v>2419642.14</v>
      </c>
      <c r="J66" s="387">
        <v>1834822.74</v>
      </c>
      <c r="K66" s="387">
        <v>1519358.76</v>
      </c>
      <c r="L66" s="387">
        <f t="shared" si="2"/>
        <v>11809051.128</v>
      </c>
      <c r="M66" s="388"/>
    </row>
    <row r="67" spans="2:17">
      <c r="B67" s="443" t="s">
        <v>1758</v>
      </c>
      <c r="C67" s="325"/>
      <c r="D67" s="381"/>
      <c r="E67" s="381"/>
      <c r="F67" s="381"/>
      <c r="G67" s="381"/>
      <c r="H67" s="381"/>
      <c r="I67" s="325"/>
      <c r="J67" s="325"/>
      <c r="K67" s="325"/>
      <c r="L67" s="325"/>
      <c r="M67" s="382"/>
      <c r="Q67" s="1"/>
    </row>
    <row r="68" spans="2:17">
      <c r="B68" s="439" t="s">
        <v>1751</v>
      </c>
      <c r="C68" s="379" t="s">
        <v>1752</v>
      </c>
      <c r="D68" s="380">
        <v>0</v>
      </c>
      <c r="E68" s="380">
        <v>0</v>
      </c>
      <c r="F68" s="380">
        <v>0</v>
      </c>
      <c r="G68" s="380">
        <v>0</v>
      </c>
      <c r="H68" s="380">
        <v>0</v>
      </c>
      <c r="I68" s="325">
        <v>0</v>
      </c>
      <c r="J68" s="325">
        <v>0</v>
      </c>
      <c r="K68" s="325">
        <v>0</v>
      </c>
      <c r="L68" s="381">
        <f t="shared" si="2"/>
        <v>0</v>
      </c>
      <c r="M68" s="382"/>
      <c r="Q68" s="1"/>
    </row>
    <row r="69" spans="2:17">
      <c r="B69" s="440" t="s">
        <v>1753</v>
      </c>
      <c r="C69" s="379" t="s">
        <v>1752</v>
      </c>
      <c r="D69" s="380">
        <v>0</v>
      </c>
      <c r="E69" s="380">
        <v>0</v>
      </c>
      <c r="F69" s="380">
        <v>0</v>
      </c>
      <c r="G69" s="380">
        <v>0</v>
      </c>
      <c r="H69" s="380">
        <v>0</v>
      </c>
      <c r="I69" s="325">
        <v>0</v>
      </c>
      <c r="J69" s="325">
        <v>0</v>
      </c>
      <c r="K69" s="325">
        <v>0</v>
      </c>
      <c r="L69" s="381">
        <f t="shared" si="2"/>
        <v>0</v>
      </c>
      <c r="M69" s="382"/>
      <c r="Q69" s="1"/>
    </row>
    <row r="70" spans="2:17">
      <c r="B70" s="439" t="s">
        <v>1754</v>
      </c>
      <c r="C70" s="379" t="s">
        <v>1752</v>
      </c>
      <c r="D70" s="380">
        <v>0</v>
      </c>
      <c r="E70" s="380">
        <v>1925032</v>
      </c>
      <c r="F70" s="380">
        <v>0</v>
      </c>
      <c r="G70" s="380">
        <v>0</v>
      </c>
      <c r="H70" s="380">
        <v>0</v>
      </c>
      <c r="I70" s="325">
        <v>0</v>
      </c>
      <c r="J70" s="325">
        <v>0</v>
      </c>
      <c r="K70" s="325">
        <v>0</v>
      </c>
      <c r="L70" s="381">
        <f t="shared" si="2"/>
        <v>1925032</v>
      </c>
      <c r="M70" s="382"/>
      <c r="Q70" s="1"/>
    </row>
    <row r="71" spans="2:17">
      <c r="B71" s="439" t="s">
        <v>1755</v>
      </c>
      <c r="C71" s="379" t="s">
        <v>1752</v>
      </c>
      <c r="D71" s="380">
        <v>0</v>
      </c>
      <c r="E71" s="380">
        <v>0</v>
      </c>
      <c r="F71" s="380">
        <v>0</v>
      </c>
      <c r="G71" s="380">
        <v>0</v>
      </c>
      <c r="H71" s="380">
        <v>0</v>
      </c>
      <c r="I71" s="325">
        <v>0</v>
      </c>
      <c r="J71" s="325">
        <v>0</v>
      </c>
      <c r="K71" s="325">
        <v>0</v>
      </c>
      <c r="L71" s="381">
        <f t="shared" si="2"/>
        <v>0</v>
      </c>
      <c r="M71" s="382"/>
      <c r="Q71" s="1"/>
    </row>
    <row r="72" spans="2:17">
      <c r="B72" s="441" t="s">
        <v>1756</v>
      </c>
      <c r="C72" s="389" t="s">
        <v>1752</v>
      </c>
      <c r="D72" s="390">
        <v>0</v>
      </c>
      <c r="E72" s="390">
        <v>0</v>
      </c>
      <c r="F72" s="390">
        <v>0</v>
      </c>
      <c r="G72" s="390">
        <v>0</v>
      </c>
      <c r="H72" s="390">
        <v>0</v>
      </c>
      <c r="I72" s="326">
        <v>0</v>
      </c>
      <c r="J72" s="326">
        <v>0</v>
      </c>
      <c r="K72" s="326">
        <v>0</v>
      </c>
      <c r="L72" s="381">
        <f t="shared" si="2"/>
        <v>0</v>
      </c>
      <c r="M72" s="391"/>
      <c r="Q72" s="1"/>
    </row>
    <row r="73" spans="2:17" s="1" customFormat="1" ht="15" thickBot="1">
      <c r="B73" s="392" t="s">
        <v>1757</v>
      </c>
      <c r="C73" s="393" t="s">
        <v>1752</v>
      </c>
      <c r="D73" s="394">
        <v>0</v>
      </c>
      <c r="E73" s="394">
        <v>1925032</v>
      </c>
      <c r="F73" s="394">
        <v>0</v>
      </c>
      <c r="G73" s="394">
        <v>0</v>
      </c>
      <c r="H73" s="394">
        <v>0</v>
      </c>
      <c r="I73" s="395">
        <v>0</v>
      </c>
      <c r="J73" s="395">
        <v>0</v>
      </c>
      <c r="K73" s="395">
        <v>0</v>
      </c>
      <c r="L73" s="395">
        <f t="shared" si="2"/>
        <v>1925032</v>
      </c>
      <c r="M73" s="396">
        <f>L73/L74</f>
        <v>0.14016458048629338</v>
      </c>
    </row>
    <row r="74" spans="2:17" s="1" customFormat="1" ht="15" thickTop="1">
      <c r="B74" s="397" t="s">
        <v>1759</v>
      </c>
      <c r="C74" s="398" t="s">
        <v>1752</v>
      </c>
      <c r="D74" s="399">
        <f>D66+D73</f>
        <v>751294</v>
      </c>
      <c r="E74" s="399">
        <f t="shared" ref="E74:L74" si="3">E66+E73</f>
        <v>1925032</v>
      </c>
      <c r="F74" s="399">
        <f t="shared" si="3"/>
        <v>527560.1</v>
      </c>
      <c r="G74" s="399">
        <f t="shared" si="3"/>
        <v>1393779.74</v>
      </c>
      <c r="H74" s="399">
        <f t="shared" si="3"/>
        <v>3362593.648</v>
      </c>
      <c r="I74" s="399">
        <f t="shared" si="3"/>
        <v>2419642.14</v>
      </c>
      <c r="J74" s="399">
        <f t="shared" si="3"/>
        <v>1834822.74</v>
      </c>
      <c r="K74" s="399">
        <f t="shared" si="3"/>
        <v>1519358.76</v>
      </c>
      <c r="L74" s="399">
        <f t="shared" si="3"/>
        <v>13734083.128</v>
      </c>
      <c r="M74" s="400"/>
    </row>
    <row r="75" spans="2:17">
      <c r="B75" s="58"/>
      <c r="D75" s="119"/>
    </row>
    <row r="77" spans="2:17" ht="23.4">
      <c r="B77" s="113"/>
    </row>
  </sheetData>
  <mergeCells count="6">
    <mergeCell ref="B2:H2"/>
    <mergeCell ref="B3:L3"/>
    <mergeCell ref="B42:M42"/>
    <mergeCell ref="B57:D57"/>
    <mergeCell ref="B27:M27"/>
    <mergeCell ref="B6:K6"/>
  </mergeCells>
  <phoneticPr fontId="11" type="noConversion"/>
  <hyperlinks>
    <hyperlink ref="B7" r:id="rId1" xr:uid="{B48D403A-182C-416B-8859-8235777EE593}"/>
  </hyperlinks>
  <pageMargins left="0.7" right="0.7" top="0.75" bottom="0.75" header="0.3" footer="0.3"/>
  <drawing r:id="rId2"/>
  <legacyDrawing r:id="rId3"/>
  <tableParts count="3">
    <tablePart r:id="rId4"/>
    <tablePart r:id="rId5"/>
    <tablePart r:id="rId6"/>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D2BB-FEFF-46CF-B430-D1C16E79BBED}">
  <dimension ref="A1:N36"/>
  <sheetViews>
    <sheetView showGridLines="0" zoomScale="80" zoomScaleNormal="80" workbookViewId="0">
      <selection activeCell="B2" sqref="B2"/>
    </sheetView>
  </sheetViews>
  <sheetFormatPr defaultRowHeight="14.4"/>
  <cols>
    <col min="1" max="1" width="3.44140625" customWidth="1"/>
    <col min="2" max="2" width="18" customWidth="1"/>
    <col min="3" max="3" width="17" customWidth="1"/>
    <col min="4" max="4" width="18.109375" customWidth="1"/>
    <col min="5" max="5" width="31.5546875" customWidth="1"/>
    <col min="6" max="6" width="14.109375" customWidth="1"/>
    <col min="7" max="7" width="21" customWidth="1"/>
    <col min="8" max="8" width="21.33203125" customWidth="1"/>
    <col min="9" max="9" width="21" customWidth="1"/>
    <col min="10" max="10" width="15.44140625" customWidth="1"/>
    <col min="11" max="11" width="36.5546875" customWidth="1"/>
    <col min="12" max="12" width="28.109375" customWidth="1"/>
    <col min="13" max="13" width="27.33203125" customWidth="1"/>
    <col min="14" max="14" width="16.5546875" customWidth="1"/>
  </cols>
  <sheetData>
    <row r="1" spans="1:13" ht="52.5" customHeight="1">
      <c r="M1" t="e" vm="1">
        <v>#VALUE!</v>
      </c>
    </row>
    <row r="2" spans="1:13">
      <c r="B2" s="19" t="s">
        <v>1760</v>
      </c>
      <c r="C2" s="444"/>
    </row>
    <row r="3" spans="1:13" s="20" customFormat="1">
      <c r="A3"/>
      <c r="B3" s="201" t="s">
        <v>1761</v>
      </c>
      <c r="C3" s="445"/>
    </row>
    <row r="4" spans="1:13">
      <c r="B4" s="19"/>
      <c r="C4" s="444"/>
    </row>
    <row r="5" spans="1:13" s="125" customFormat="1" ht="34.5" customHeight="1">
      <c r="B5" s="340" t="s">
        <v>1762</v>
      </c>
      <c r="C5" s="446" t="s">
        <v>587</v>
      </c>
      <c r="D5" s="446" t="s">
        <v>1763</v>
      </c>
      <c r="E5" s="446" t="s">
        <v>1764</v>
      </c>
      <c r="F5" s="446" t="s">
        <v>1765</v>
      </c>
      <c r="G5" s="446" t="s">
        <v>1766</v>
      </c>
      <c r="H5" s="446" t="s">
        <v>1767</v>
      </c>
      <c r="I5" s="446" t="s">
        <v>1768</v>
      </c>
      <c r="J5" s="557" t="s">
        <v>1769</v>
      </c>
    </row>
    <row r="6" spans="1:13" s="204" customFormat="1" ht="56.4">
      <c r="B6" s="408" t="s">
        <v>744</v>
      </c>
      <c r="C6" s="560" t="s">
        <v>693</v>
      </c>
      <c r="D6" s="560" t="s">
        <v>1770</v>
      </c>
      <c r="E6" s="560" t="s">
        <v>699</v>
      </c>
      <c r="F6" s="560" t="s">
        <v>1771</v>
      </c>
      <c r="G6" s="560">
        <v>30</v>
      </c>
      <c r="H6" s="560" t="s">
        <v>1772</v>
      </c>
      <c r="I6" s="560" t="s">
        <v>1773</v>
      </c>
      <c r="J6" s="561" t="s">
        <v>1774</v>
      </c>
    </row>
    <row r="7" spans="1:13" s="204" customFormat="1" ht="70.5" customHeight="1">
      <c r="B7" s="408" t="s">
        <v>1775</v>
      </c>
      <c r="C7" s="560" t="s">
        <v>693</v>
      </c>
      <c r="D7" s="560" t="s">
        <v>1</v>
      </c>
      <c r="E7" s="560" t="s">
        <v>1776</v>
      </c>
      <c r="F7" s="560" t="s">
        <v>1777</v>
      </c>
      <c r="G7" s="560" t="s">
        <v>1778</v>
      </c>
      <c r="H7" s="560" t="s">
        <v>1779</v>
      </c>
      <c r="I7" s="560" t="s">
        <v>1780</v>
      </c>
      <c r="J7" s="561" t="s">
        <v>1781</v>
      </c>
    </row>
    <row r="8" spans="1:13" s="204" customFormat="1" ht="41.25" customHeight="1">
      <c r="B8" s="449" t="s">
        <v>747</v>
      </c>
      <c r="C8" s="447" t="s">
        <v>693</v>
      </c>
      <c r="D8" s="447" t="s">
        <v>1782</v>
      </c>
      <c r="E8" s="447" t="s">
        <v>699</v>
      </c>
      <c r="F8" s="447" t="s">
        <v>1771</v>
      </c>
      <c r="G8" s="447">
        <v>2.1</v>
      </c>
      <c r="H8" s="447" t="s">
        <v>1783</v>
      </c>
      <c r="I8" s="447" t="s">
        <v>1784</v>
      </c>
      <c r="J8" s="558" t="s">
        <v>1774</v>
      </c>
    </row>
    <row r="9" spans="1:13" s="204" customFormat="1" ht="27.6">
      <c r="B9" s="656" t="s">
        <v>1785</v>
      </c>
      <c r="C9" s="659" t="s">
        <v>713</v>
      </c>
      <c r="D9" s="659" t="s">
        <v>1786</v>
      </c>
      <c r="E9" s="560" t="s">
        <v>1787</v>
      </c>
      <c r="F9" s="560" t="s">
        <v>1788</v>
      </c>
      <c r="G9" s="560">
        <v>6.6</v>
      </c>
      <c r="H9" s="560" t="s">
        <v>1789</v>
      </c>
      <c r="I9" s="560" t="s">
        <v>1773</v>
      </c>
      <c r="J9" s="561" t="s">
        <v>1790</v>
      </c>
    </row>
    <row r="10" spans="1:13" s="204" customFormat="1" ht="13.8">
      <c r="B10" s="657"/>
      <c r="C10" s="660"/>
      <c r="D10" s="660"/>
      <c r="E10" s="447" t="s">
        <v>1791</v>
      </c>
      <c r="F10" s="447" t="s">
        <v>1792</v>
      </c>
      <c r="G10" s="447" t="s">
        <v>1598</v>
      </c>
      <c r="H10" s="447" t="s">
        <v>1598</v>
      </c>
      <c r="I10" s="447" t="s">
        <v>1784</v>
      </c>
      <c r="J10" s="558" t="s">
        <v>1790</v>
      </c>
    </row>
    <row r="11" spans="1:13" s="204" customFormat="1" ht="27.6">
      <c r="B11" s="657"/>
      <c r="C11" s="660"/>
      <c r="D11" s="660"/>
      <c r="E11" s="447" t="s">
        <v>1793</v>
      </c>
      <c r="F11" s="447" t="s">
        <v>1771</v>
      </c>
      <c r="G11" s="447">
        <v>2.4</v>
      </c>
      <c r="H11" s="447" t="s">
        <v>1794</v>
      </c>
      <c r="I11" s="447" t="s">
        <v>1784</v>
      </c>
      <c r="J11" s="558" t="s">
        <v>1790</v>
      </c>
    </row>
    <row r="12" spans="1:13" s="204" customFormat="1" ht="27.6">
      <c r="B12" s="658"/>
      <c r="C12" s="661"/>
      <c r="D12" s="661"/>
      <c r="E12" s="447" t="s">
        <v>1795</v>
      </c>
      <c r="F12" s="447" t="s">
        <v>1771</v>
      </c>
      <c r="G12" s="447">
        <v>0.3</v>
      </c>
      <c r="H12" s="447" t="s">
        <v>1796</v>
      </c>
      <c r="I12" s="447" t="s">
        <v>1784</v>
      </c>
      <c r="J12" s="558" t="s">
        <v>1790</v>
      </c>
    </row>
    <row r="13" spans="1:13" s="204" customFormat="1" ht="27.6">
      <c r="B13" s="656" t="s">
        <v>1797</v>
      </c>
      <c r="C13" s="659" t="s">
        <v>713</v>
      </c>
      <c r="D13" s="659" t="s">
        <v>1798</v>
      </c>
      <c r="E13" s="447" t="s">
        <v>1799</v>
      </c>
      <c r="F13" s="447" t="s">
        <v>1771</v>
      </c>
      <c r="G13" s="447">
        <v>17.2</v>
      </c>
      <c r="H13" s="447" t="s">
        <v>1800</v>
      </c>
      <c r="I13" s="447" t="s">
        <v>1784</v>
      </c>
      <c r="J13" s="558" t="s">
        <v>1790</v>
      </c>
    </row>
    <row r="14" spans="1:13" s="204" customFormat="1" ht="55.2">
      <c r="B14" s="658"/>
      <c r="C14" s="661"/>
      <c r="D14" s="661"/>
      <c r="E14" s="448" t="s">
        <v>1801</v>
      </c>
      <c r="F14" s="448" t="s">
        <v>1802</v>
      </c>
      <c r="G14" s="448">
        <v>4.5</v>
      </c>
      <c r="H14" s="448" t="s">
        <v>1803</v>
      </c>
      <c r="I14" s="448" t="s">
        <v>1773</v>
      </c>
      <c r="J14" s="559" t="s">
        <v>1790</v>
      </c>
    </row>
    <row r="15" spans="1:13" s="204" customFormat="1" ht="13.8">
      <c r="B15" s="662" t="s">
        <v>1804</v>
      </c>
      <c r="C15" s="662"/>
      <c r="D15" s="662"/>
      <c r="E15" s="662"/>
      <c r="F15" s="662"/>
      <c r="G15" s="662"/>
      <c r="H15" s="662"/>
      <c r="I15" s="662"/>
      <c r="J15" s="662"/>
      <c r="K15" s="639"/>
      <c r="L15" s="639"/>
      <c r="M15" s="639"/>
    </row>
    <row r="16" spans="1:13" ht="22.5" customHeight="1">
      <c r="B16" s="19"/>
      <c r="C16" s="444"/>
    </row>
    <row r="17" spans="2:14">
      <c r="B17" s="19" t="s">
        <v>144</v>
      </c>
      <c r="C17" s="19"/>
      <c r="D17" s="19"/>
    </row>
    <row r="19" spans="2:14" ht="31.5" customHeight="1">
      <c r="B19" s="122" t="s">
        <v>1805</v>
      </c>
      <c r="C19" s="122" t="s">
        <v>587</v>
      </c>
      <c r="D19" s="122" t="s">
        <v>1806</v>
      </c>
      <c r="E19" s="122" t="s">
        <v>687</v>
      </c>
      <c r="F19" s="122" t="s">
        <v>1807</v>
      </c>
      <c r="G19" s="122" t="s">
        <v>1808</v>
      </c>
      <c r="H19" s="122" t="s">
        <v>1809</v>
      </c>
      <c r="I19" s="122" t="s">
        <v>1810</v>
      </c>
      <c r="J19" s="122" t="s">
        <v>1811</v>
      </c>
      <c r="K19" s="122" t="s">
        <v>1812</v>
      </c>
      <c r="L19" s="122" t="s">
        <v>1813</v>
      </c>
      <c r="M19" s="122" t="s">
        <v>1814</v>
      </c>
      <c r="N19" s="122" t="s">
        <v>1815</v>
      </c>
    </row>
    <row r="20" spans="2:14" ht="41.4">
      <c r="B20" s="102" t="s">
        <v>1816</v>
      </c>
      <c r="C20" s="103" t="s">
        <v>1817</v>
      </c>
      <c r="D20" s="103" t="s">
        <v>1818</v>
      </c>
      <c r="E20" s="103" t="s">
        <v>1819</v>
      </c>
      <c r="F20" s="103">
        <v>1991</v>
      </c>
      <c r="G20" s="103" t="s">
        <v>1820</v>
      </c>
      <c r="H20" s="103" t="s">
        <v>1821</v>
      </c>
      <c r="I20" s="450">
        <v>101.17149999999999</v>
      </c>
      <c r="J20" s="451">
        <v>0.01</v>
      </c>
      <c r="K20" s="349">
        <v>48.8</v>
      </c>
      <c r="L20" s="349">
        <v>48.8</v>
      </c>
      <c r="M20" s="349">
        <v>20.525624999999998</v>
      </c>
      <c r="N20" s="349">
        <v>20.525624999999998</v>
      </c>
    </row>
    <row r="21" spans="2:14" ht="41.4">
      <c r="B21" s="102" t="s">
        <v>1822</v>
      </c>
      <c r="C21" s="103" t="s">
        <v>1817</v>
      </c>
      <c r="D21" s="103" t="s">
        <v>1818</v>
      </c>
      <c r="E21" s="103" t="s">
        <v>699</v>
      </c>
      <c r="F21" s="103">
        <v>2021</v>
      </c>
      <c r="G21" s="103" t="s">
        <v>1820</v>
      </c>
      <c r="H21" s="103" t="s">
        <v>1821</v>
      </c>
      <c r="I21" s="450">
        <v>64.345100000000002</v>
      </c>
      <c r="J21" s="451">
        <v>1.2E-2</v>
      </c>
      <c r="K21" s="349">
        <v>27.432000000000002</v>
      </c>
      <c r="L21" s="347">
        <v>61</v>
      </c>
      <c r="M21" s="349">
        <v>10.521770572440294</v>
      </c>
      <c r="N21" s="349">
        <v>25.249999999999996</v>
      </c>
    </row>
    <row r="22" spans="2:14" ht="55.2">
      <c r="B22" s="102" t="s">
        <v>1823</v>
      </c>
      <c r="C22" s="103" t="s">
        <v>1824</v>
      </c>
      <c r="D22" s="103" t="s">
        <v>1825</v>
      </c>
      <c r="E22" s="103" t="s">
        <v>699</v>
      </c>
      <c r="F22" s="103">
        <v>2007</v>
      </c>
      <c r="G22" s="103" t="s">
        <v>1826</v>
      </c>
      <c r="H22" s="103" t="s">
        <v>1821</v>
      </c>
      <c r="I22" s="450">
        <v>267.73419999999999</v>
      </c>
      <c r="J22" s="347" t="s">
        <v>1827</v>
      </c>
      <c r="K22" s="347" t="s">
        <v>1828</v>
      </c>
      <c r="L22" s="347">
        <v>100</v>
      </c>
      <c r="M22" s="349">
        <v>115.55991214285714</v>
      </c>
      <c r="N22" s="349">
        <v>111.67679085714285</v>
      </c>
    </row>
    <row r="23" spans="2:14" ht="55.2">
      <c r="B23" s="102" t="s">
        <v>1829</v>
      </c>
      <c r="C23" s="103" t="s">
        <v>1824</v>
      </c>
      <c r="D23" s="103" t="s">
        <v>1825</v>
      </c>
      <c r="E23" s="103" t="s">
        <v>699</v>
      </c>
      <c r="F23" s="103">
        <v>2013</v>
      </c>
      <c r="G23" s="103" t="s">
        <v>1820</v>
      </c>
      <c r="H23" s="103" t="s">
        <v>1821</v>
      </c>
      <c r="I23" s="450">
        <v>74.512900000000002</v>
      </c>
      <c r="J23" s="451">
        <v>5.0999999999999997E-2</v>
      </c>
      <c r="K23" s="347">
        <v>55</v>
      </c>
      <c r="L23" s="347">
        <v>100</v>
      </c>
      <c r="M23" s="349">
        <v>34.642652898644904</v>
      </c>
      <c r="N23" s="349">
        <v>49.05434114285714</v>
      </c>
    </row>
    <row r="24" spans="2:14" ht="55.2">
      <c r="B24" s="102" t="s">
        <v>1830</v>
      </c>
      <c r="C24" s="103" t="s">
        <v>1824</v>
      </c>
      <c r="D24" s="103" t="s">
        <v>1825</v>
      </c>
      <c r="E24" s="103" t="s">
        <v>699</v>
      </c>
      <c r="F24" s="103" t="s">
        <v>1831</v>
      </c>
      <c r="G24" s="103" t="s">
        <v>1820</v>
      </c>
      <c r="H24" s="103" t="s">
        <v>1821</v>
      </c>
      <c r="I24" s="450">
        <v>342.24709999999999</v>
      </c>
      <c r="J24" s="451" t="s">
        <v>1832</v>
      </c>
      <c r="K24" s="347" t="s">
        <v>1833</v>
      </c>
      <c r="L24" s="347">
        <v>100</v>
      </c>
      <c r="M24" s="349">
        <v>150.20256504150206</v>
      </c>
      <c r="N24" s="349">
        <v>160.731132</v>
      </c>
    </row>
    <row r="25" spans="2:14" ht="42" customHeight="1">
      <c r="B25" s="102" t="s">
        <v>1834</v>
      </c>
      <c r="C25" s="103" t="s">
        <v>1835</v>
      </c>
      <c r="D25" s="103" t="s">
        <v>1836</v>
      </c>
      <c r="E25" s="103" t="s">
        <v>1837</v>
      </c>
      <c r="F25" s="103">
        <v>1989</v>
      </c>
      <c r="G25" s="103" t="s">
        <v>1820</v>
      </c>
      <c r="H25" s="103" t="s">
        <v>1838</v>
      </c>
      <c r="I25" s="452">
        <v>16.230161087999999</v>
      </c>
      <c r="J25" s="451">
        <v>0.01</v>
      </c>
      <c r="K25" s="349">
        <v>48.768000000000001</v>
      </c>
      <c r="L25" s="349">
        <v>48.768000000000001</v>
      </c>
      <c r="M25" s="349">
        <v>0</v>
      </c>
      <c r="N25" s="349">
        <v>0</v>
      </c>
    </row>
    <row r="26" spans="2:14" ht="42" customHeight="1">
      <c r="B26" s="102" t="s">
        <v>1839</v>
      </c>
      <c r="C26" s="103" t="s">
        <v>1835</v>
      </c>
      <c r="D26" s="103" t="s">
        <v>1836</v>
      </c>
      <c r="E26" s="103" t="s">
        <v>1837</v>
      </c>
      <c r="F26" s="103">
        <v>1994</v>
      </c>
      <c r="G26" s="103" t="s">
        <v>1820</v>
      </c>
      <c r="H26" s="103" t="s">
        <v>1838</v>
      </c>
      <c r="I26" s="452">
        <v>17.187062400000002</v>
      </c>
      <c r="J26" s="451">
        <v>0.01</v>
      </c>
      <c r="K26" s="349">
        <v>60.96</v>
      </c>
      <c r="L26" s="349">
        <v>60.96</v>
      </c>
      <c r="M26" s="349">
        <v>0</v>
      </c>
      <c r="N26" s="349">
        <v>0</v>
      </c>
    </row>
    <row r="27" spans="2:14" ht="27.6">
      <c r="B27" s="102" t="s">
        <v>1840</v>
      </c>
      <c r="C27" s="103" t="s">
        <v>1835</v>
      </c>
      <c r="D27" s="103" t="s">
        <v>1836</v>
      </c>
      <c r="E27" s="103" t="s">
        <v>1841</v>
      </c>
      <c r="F27" s="103" t="s">
        <v>1842</v>
      </c>
      <c r="G27" s="103" t="s">
        <v>1820</v>
      </c>
      <c r="H27" s="103" t="s">
        <v>1841</v>
      </c>
      <c r="I27" s="452">
        <v>33.417223488000005</v>
      </c>
      <c r="J27" s="451">
        <v>0.01</v>
      </c>
      <c r="K27" s="349">
        <v>0</v>
      </c>
      <c r="L27" s="349">
        <v>0</v>
      </c>
      <c r="M27" s="349">
        <v>0</v>
      </c>
      <c r="N27" s="349">
        <v>0</v>
      </c>
    </row>
    <row r="28" spans="2:14" ht="27.6">
      <c r="B28" s="102" t="s">
        <v>1843</v>
      </c>
      <c r="C28" s="103" t="s">
        <v>1835</v>
      </c>
      <c r="D28" s="103" t="s">
        <v>1836</v>
      </c>
      <c r="E28" s="103" t="s">
        <v>1837</v>
      </c>
      <c r="F28" s="103">
        <v>1986</v>
      </c>
      <c r="G28" s="103" t="s">
        <v>1820</v>
      </c>
      <c r="H28" s="103" t="s">
        <v>1821</v>
      </c>
      <c r="I28" s="452">
        <v>16.258032</v>
      </c>
      <c r="J28" s="451">
        <v>1.2500000000000001E-2</v>
      </c>
      <c r="K28" s="349">
        <v>45.72</v>
      </c>
      <c r="L28" s="349">
        <v>45.72</v>
      </c>
      <c r="M28" s="349">
        <v>7.1319574656169893</v>
      </c>
      <c r="N28" s="349">
        <v>7.1319574656169893</v>
      </c>
    </row>
    <row r="29" spans="2:14" ht="27.6">
      <c r="B29" s="102" t="s">
        <v>1844</v>
      </c>
      <c r="C29" s="103" t="s">
        <v>1835</v>
      </c>
      <c r="D29" s="103" t="s">
        <v>1836</v>
      </c>
      <c r="E29" s="103" t="s">
        <v>1837</v>
      </c>
      <c r="F29" s="103">
        <v>1986</v>
      </c>
      <c r="G29" s="103" t="s">
        <v>1820</v>
      </c>
      <c r="H29" s="103" t="s">
        <v>1821</v>
      </c>
      <c r="I29" s="452">
        <v>16.258032</v>
      </c>
      <c r="J29" s="451">
        <v>1.2500000000000001E-2</v>
      </c>
      <c r="K29" s="349">
        <v>45.72</v>
      </c>
      <c r="L29" s="349">
        <v>45.72</v>
      </c>
      <c r="M29" s="349">
        <v>7.1319574656169893</v>
      </c>
      <c r="N29" s="349">
        <v>7.1319574656169893</v>
      </c>
    </row>
    <row r="30" spans="2:14" ht="27.6">
      <c r="B30" s="102" t="s">
        <v>1845</v>
      </c>
      <c r="C30" s="103" t="s">
        <v>1835</v>
      </c>
      <c r="D30" s="103" t="s">
        <v>1836</v>
      </c>
      <c r="E30" s="103" t="s">
        <v>1837</v>
      </c>
      <c r="F30" s="103" t="s">
        <v>1846</v>
      </c>
      <c r="G30" s="103" t="s">
        <v>1820</v>
      </c>
      <c r="H30" s="103" t="s">
        <v>1821</v>
      </c>
      <c r="I30" s="452">
        <v>26.0128512</v>
      </c>
      <c r="J30" s="451">
        <v>1.2500000000000001E-2</v>
      </c>
      <c r="K30" s="349">
        <v>45.72</v>
      </c>
      <c r="L30" s="349">
        <v>45.72</v>
      </c>
      <c r="M30" s="349">
        <v>13.243000020558219</v>
      </c>
      <c r="N30" s="349">
        <v>13.243000020558219</v>
      </c>
    </row>
    <row r="31" spans="2:14" ht="27.6">
      <c r="B31" s="102" t="s">
        <v>1847</v>
      </c>
      <c r="C31" s="103" t="s">
        <v>1835</v>
      </c>
      <c r="D31" s="103" t="s">
        <v>1836</v>
      </c>
      <c r="E31" s="103" t="s">
        <v>1837</v>
      </c>
      <c r="F31" s="103">
        <v>1989</v>
      </c>
      <c r="G31" s="103" t="s">
        <v>1820</v>
      </c>
      <c r="H31" s="103" t="s">
        <v>1821</v>
      </c>
      <c r="I31" s="452">
        <v>49.206095136000009</v>
      </c>
      <c r="J31" s="451">
        <v>1.2500000000000001E-2</v>
      </c>
      <c r="K31" s="349">
        <v>45.72</v>
      </c>
      <c r="L31" s="349">
        <v>45.72</v>
      </c>
      <c r="M31" s="349">
        <v>25.672879839854161</v>
      </c>
      <c r="N31" s="349">
        <v>25.672879839854161</v>
      </c>
    </row>
    <row r="32" spans="2:14" ht="27.6">
      <c r="B32" s="102" t="s">
        <v>1848</v>
      </c>
      <c r="C32" s="103" t="s">
        <v>1835</v>
      </c>
      <c r="D32" s="103" t="s">
        <v>1836</v>
      </c>
      <c r="E32" s="103" t="s">
        <v>1837</v>
      </c>
      <c r="F32" s="103">
        <v>1992</v>
      </c>
      <c r="G32" s="103" t="s">
        <v>1820</v>
      </c>
      <c r="H32" s="103" t="s">
        <v>1821</v>
      </c>
      <c r="I32" s="452">
        <v>50.067306316800007</v>
      </c>
      <c r="J32" s="451">
        <v>1.2500000000000001E-2</v>
      </c>
      <c r="K32" s="349">
        <v>91.44</v>
      </c>
      <c r="L32" s="349">
        <v>91.44</v>
      </c>
      <c r="M32" s="349">
        <v>22.815252323418033</v>
      </c>
      <c r="N32" s="349">
        <v>22.815252323418033</v>
      </c>
    </row>
    <row r="33" spans="2:14" ht="27.6">
      <c r="B33" s="102" t="s">
        <v>1849</v>
      </c>
      <c r="C33" s="103" t="s">
        <v>1835</v>
      </c>
      <c r="D33" s="103" t="s">
        <v>1836</v>
      </c>
      <c r="E33" s="103" t="s">
        <v>1837</v>
      </c>
      <c r="F33" s="103">
        <v>1997</v>
      </c>
      <c r="G33" s="103" t="s">
        <v>1820</v>
      </c>
      <c r="H33" s="103" t="s">
        <v>1821</v>
      </c>
      <c r="I33" s="452">
        <v>167.50882627199999</v>
      </c>
      <c r="J33" s="451">
        <v>1.2500000000000001E-2</v>
      </c>
      <c r="K33" s="349">
        <v>91.44</v>
      </c>
      <c r="L33" s="349">
        <v>91.44</v>
      </c>
      <c r="M33" s="349">
        <v>127.36587699772072</v>
      </c>
      <c r="N33" s="349">
        <v>127.36587699772072</v>
      </c>
    </row>
    <row r="34" spans="2:14" ht="27.6">
      <c r="B34" s="102" t="s">
        <v>1850</v>
      </c>
      <c r="C34" s="103" t="s">
        <v>1835</v>
      </c>
      <c r="D34" s="103" t="s">
        <v>1836</v>
      </c>
      <c r="E34" s="103" t="s">
        <v>699</v>
      </c>
      <c r="F34" s="103">
        <v>2015</v>
      </c>
      <c r="G34" s="103" t="s">
        <v>1851</v>
      </c>
      <c r="H34" s="103" t="s">
        <v>699</v>
      </c>
      <c r="I34" s="452">
        <v>112.8771936</v>
      </c>
      <c r="J34" s="451">
        <v>1.2500000000000001E-2</v>
      </c>
      <c r="K34" s="349">
        <v>57.912000000000006</v>
      </c>
      <c r="L34" s="349">
        <v>76.2</v>
      </c>
      <c r="M34" s="349">
        <v>76.266357104484342</v>
      </c>
      <c r="N34" s="349">
        <v>98.675535600657042</v>
      </c>
    </row>
    <row r="35" spans="2:14" ht="27.6">
      <c r="B35" s="102" t="s">
        <v>1852</v>
      </c>
      <c r="C35" s="103" t="s">
        <v>1835</v>
      </c>
      <c r="D35" s="103" t="s">
        <v>1836</v>
      </c>
      <c r="E35" s="103" t="s">
        <v>699</v>
      </c>
      <c r="F35" s="103" t="s">
        <v>1853</v>
      </c>
      <c r="G35" s="103" t="s">
        <v>1820</v>
      </c>
      <c r="H35" s="103" t="s">
        <v>699</v>
      </c>
      <c r="I35" s="452">
        <v>325.31114292480004</v>
      </c>
      <c r="J35" s="451">
        <v>1.2500000000000001E-2</v>
      </c>
      <c r="K35" s="349">
        <v>103.63200000000001</v>
      </c>
      <c r="L35" s="349">
        <v>121.92</v>
      </c>
      <c r="M35" s="349">
        <v>279.62728121726946</v>
      </c>
      <c r="N35" s="349">
        <v>302.03645971344213</v>
      </c>
    </row>
    <row r="36" spans="2:14" ht="15" customHeight="1">
      <c r="B36" s="639" t="s">
        <v>1854</v>
      </c>
      <c r="C36" s="639"/>
      <c r="D36" s="639"/>
      <c r="E36" s="639"/>
      <c r="F36" s="639"/>
      <c r="G36" s="639"/>
      <c r="H36" s="639"/>
      <c r="I36" s="639"/>
      <c r="J36" s="639"/>
      <c r="K36" s="639"/>
      <c r="L36" s="639"/>
      <c r="M36" s="639"/>
      <c r="N36" s="639"/>
    </row>
  </sheetData>
  <mergeCells count="8">
    <mergeCell ref="B9:B12"/>
    <mergeCell ref="C9:C12"/>
    <mergeCell ref="D9:D12"/>
    <mergeCell ref="B15:M15"/>
    <mergeCell ref="B36:N36"/>
    <mergeCell ref="B13:B14"/>
    <mergeCell ref="C13:C14"/>
    <mergeCell ref="D13:D1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7315-6784-4529-AF51-EAFB86F1D7A1}">
  <dimension ref="A2:E195"/>
  <sheetViews>
    <sheetView zoomScale="80" zoomScaleNormal="80" workbookViewId="0">
      <selection activeCell="C156" sqref="C156"/>
    </sheetView>
  </sheetViews>
  <sheetFormatPr defaultColWidth="9.109375" defaultRowHeight="14.4"/>
  <cols>
    <col min="1" max="1" width="20" style="94" customWidth="1"/>
    <col min="2" max="2" width="42.88671875" style="95" customWidth="1"/>
    <col min="3" max="3" width="127.6640625" style="96" customWidth="1"/>
    <col min="4" max="4" width="21.6640625" style="97" customWidth="1"/>
    <col min="5" max="16384" width="9.109375" style="34"/>
  </cols>
  <sheetData>
    <row r="2" spans="1:5" ht="21">
      <c r="A2" s="584" t="s">
        <v>145</v>
      </c>
      <c r="B2" s="585"/>
      <c r="C2" s="585"/>
      <c r="D2" s="585"/>
    </row>
    <row r="3" spans="1:5" s="35" customFormat="1" ht="13.8">
      <c r="A3" s="586" t="s">
        <v>146</v>
      </c>
      <c r="B3" s="586"/>
      <c r="C3" s="587" t="s">
        <v>147</v>
      </c>
      <c r="D3" s="587"/>
    </row>
    <row r="4" spans="1:5" s="35" customFormat="1" ht="13.8">
      <c r="A4" s="588" t="s">
        <v>148</v>
      </c>
      <c r="B4" s="588"/>
      <c r="C4" s="589" t="s">
        <v>149</v>
      </c>
      <c r="D4" s="589"/>
    </row>
    <row r="5" spans="1:5" s="35" customFormat="1" ht="13.5" customHeight="1">
      <c r="A5" s="590" t="s">
        <v>150</v>
      </c>
      <c r="B5" s="590"/>
      <c r="C5" s="591" t="s">
        <v>151</v>
      </c>
      <c r="D5" s="591"/>
    </row>
    <row r="6" spans="1:5" s="35" customFormat="1" ht="10.5" customHeight="1">
      <c r="A6" s="82"/>
      <c r="B6" s="82"/>
      <c r="C6" s="83"/>
      <c r="D6" s="84"/>
    </row>
    <row r="7" spans="1:5" s="35" customFormat="1" ht="23.25" customHeight="1">
      <c r="A7" s="85" t="s">
        <v>152</v>
      </c>
      <c r="B7" s="85" t="s">
        <v>153</v>
      </c>
      <c r="C7" s="85" t="s">
        <v>154</v>
      </c>
      <c r="D7" s="86" t="s">
        <v>155</v>
      </c>
    </row>
    <row r="8" spans="1:5" s="35" customFormat="1" ht="13.8">
      <c r="A8" s="583" t="s">
        <v>156</v>
      </c>
      <c r="B8" s="583"/>
      <c r="C8" s="583"/>
      <c r="D8" s="583"/>
    </row>
    <row r="9" spans="1:5" s="246" customFormat="1" ht="27.6">
      <c r="A9" s="578" t="s">
        <v>157</v>
      </c>
      <c r="B9" s="244" t="s">
        <v>158</v>
      </c>
      <c r="C9" s="245" t="s">
        <v>159</v>
      </c>
      <c r="D9" s="579"/>
    </row>
    <row r="10" spans="1:5" s="246" customFormat="1" ht="45.75" customHeight="1">
      <c r="A10" s="578"/>
      <c r="B10" s="244" t="s">
        <v>160</v>
      </c>
      <c r="C10" s="245" t="s">
        <v>161</v>
      </c>
      <c r="D10" s="579"/>
    </row>
    <row r="11" spans="1:5" s="246" customFormat="1" ht="27.6">
      <c r="A11" s="578"/>
      <c r="B11" s="245" t="s">
        <v>162</v>
      </c>
      <c r="C11" s="245" t="s">
        <v>163</v>
      </c>
      <c r="D11" s="579"/>
      <c r="E11" s="247"/>
    </row>
    <row r="12" spans="1:5" s="246" customFormat="1" ht="41.4">
      <c r="A12" s="578"/>
      <c r="B12" s="244" t="s">
        <v>164</v>
      </c>
      <c r="C12" s="245" t="s">
        <v>165</v>
      </c>
      <c r="D12" s="579"/>
    </row>
    <row r="13" spans="1:5" s="246" customFormat="1" ht="27.6">
      <c r="A13" s="578"/>
      <c r="B13" s="244" t="s">
        <v>166</v>
      </c>
      <c r="C13" s="245" t="s">
        <v>167</v>
      </c>
      <c r="D13" s="579"/>
    </row>
    <row r="14" spans="1:5" s="246" customFormat="1" ht="27.6">
      <c r="A14" s="578"/>
      <c r="B14" s="244" t="s">
        <v>168</v>
      </c>
      <c r="C14" s="245" t="s">
        <v>169</v>
      </c>
      <c r="D14" s="580"/>
    </row>
    <row r="15" spans="1:5" s="246" customFormat="1" ht="41.4">
      <c r="A15" s="578"/>
      <c r="B15" s="244" t="s">
        <v>170</v>
      </c>
      <c r="C15" s="245" t="s">
        <v>171</v>
      </c>
      <c r="D15" s="580"/>
    </row>
    <row r="16" spans="1:5" s="246" customFormat="1" ht="41.4">
      <c r="A16" s="578"/>
      <c r="B16" s="244" t="s">
        <v>172</v>
      </c>
      <c r="C16" s="245" t="s">
        <v>173</v>
      </c>
      <c r="D16" s="580"/>
    </row>
    <row r="17" spans="1:4" s="246" customFormat="1" ht="55.2">
      <c r="A17" s="578"/>
      <c r="B17" s="244" t="s">
        <v>174</v>
      </c>
      <c r="C17" s="245" t="s">
        <v>175</v>
      </c>
      <c r="D17" s="580"/>
    </row>
    <row r="18" spans="1:4" s="246" customFormat="1" ht="55.2">
      <c r="A18" s="578"/>
      <c r="B18" s="248" t="s">
        <v>176</v>
      </c>
      <c r="C18" s="245" t="s">
        <v>177</v>
      </c>
      <c r="D18" s="580"/>
    </row>
    <row r="19" spans="1:4" s="246" customFormat="1" ht="55.2">
      <c r="A19" s="578"/>
      <c r="B19" s="248" t="s">
        <v>178</v>
      </c>
      <c r="C19" s="245" t="s">
        <v>179</v>
      </c>
      <c r="D19" s="580"/>
    </row>
    <row r="20" spans="1:4" s="246" customFormat="1" ht="41.4">
      <c r="A20" s="578"/>
      <c r="B20" s="248" t="s">
        <v>180</v>
      </c>
      <c r="C20" s="245" t="s">
        <v>181</v>
      </c>
      <c r="D20" s="580"/>
    </row>
    <row r="21" spans="1:4" s="246" customFormat="1" ht="27.6">
      <c r="A21" s="578"/>
      <c r="B21" s="248" t="s">
        <v>182</v>
      </c>
      <c r="C21" s="245" t="s">
        <v>183</v>
      </c>
      <c r="D21" s="580"/>
    </row>
    <row r="22" spans="1:4" s="246" customFormat="1" ht="41.4">
      <c r="A22" s="578"/>
      <c r="B22" s="248" t="s">
        <v>184</v>
      </c>
      <c r="C22" s="245" t="s">
        <v>185</v>
      </c>
      <c r="D22" s="580"/>
    </row>
    <row r="23" spans="1:4" s="246" customFormat="1" ht="55.2">
      <c r="A23" s="578"/>
      <c r="B23" s="248" t="s">
        <v>186</v>
      </c>
      <c r="C23" s="245" t="s">
        <v>187</v>
      </c>
      <c r="D23" s="580"/>
    </row>
    <row r="24" spans="1:4" s="246" customFormat="1" ht="55.5" customHeight="1">
      <c r="A24" s="578"/>
      <c r="B24" s="248" t="s">
        <v>188</v>
      </c>
      <c r="C24" s="245" t="s">
        <v>189</v>
      </c>
      <c r="D24" s="580"/>
    </row>
    <row r="25" spans="1:4" s="246" customFormat="1" ht="41.4">
      <c r="A25" s="578"/>
      <c r="B25" s="248" t="s">
        <v>190</v>
      </c>
      <c r="C25" s="245" t="s">
        <v>191</v>
      </c>
      <c r="D25" s="580"/>
    </row>
    <row r="26" spans="1:4" s="246" customFormat="1" ht="69">
      <c r="A26" s="578"/>
      <c r="B26" s="248" t="s">
        <v>192</v>
      </c>
      <c r="C26" s="245" t="s">
        <v>193</v>
      </c>
      <c r="D26" s="580"/>
    </row>
    <row r="27" spans="1:4" s="246" customFormat="1" ht="41.4">
      <c r="A27" s="578"/>
      <c r="B27" s="248" t="s">
        <v>194</v>
      </c>
      <c r="C27" s="245" t="s">
        <v>195</v>
      </c>
      <c r="D27" s="580"/>
    </row>
    <row r="28" spans="1:4" s="246" customFormat="1" ht="41.4">
      <c r="A28" s="578"/>
      <c r="B28" s="248" t="s">
        <v>196</v>
      </c>
      <c r="C28" s="245" t="s">
        <v>195</v>
      </c>
      <c r="D28" s="580"/>
    </row>
    <row r="29" spans="1:4" s="246" customFormat="1" ht="27.6">
      <c r="A29" s="578"/>
      <c r="B29" s="248" t="s">
        <v>197</v>
      </c>
      <c r="C29" s="245" t="s">
        <v>198</v>
      </c>
      <c r="D29" s="580"/>
    </row>
    <row r="30" spans="1:4" s="246" customFormat="1" ht="27.6">
      <c r="A30" s="578"/>
      <c r="B30" s="248" t="s">
        <v>199</v>
      </c>
      <c r="C30" s="245" t="s">
        <v>200</v>
      </c>
      <c r="D30" s="580"/>
    </row>
    <row r="31" spans="1:4" s="246" customFormat="1" ht="55.2">
      <c r="A31" s="578"/>
      <c r="B31" s="248" t="s">
        <v>201</v>
      </c>
      <c r="C31" s="245" t="s">
        <v>202</v>
      </c>
      <c r="D31" s="580"/>
    </row>
    <row r="32" spans="1:4" s="246" customFormat="1" ht="55.2">
      <c r="A32" s="578"/>
      <c r="B32" s="248" t="s">
        <v>203</v>
      </c>
      <c r="C32" s="245" t="s">
        <v>202</v>
      </c>
      <c r="D32" s="580"/>
    </row>
    <row r="33" spans="1:5" s="246" customFormat="1" ht="55.2">
      <c r="A33" s="578"/>
      <c r="B33" s="248" t="s">
        <v>204</v>
      </c>
      <c r="C33" s="245" t="s">
        <v>202</v>
      </c>
      <c r="D33" s="580"/>
    </row>
    <row r="34" spans="1:5" s="246" customFormat="1" ht="55.2">
      <c r="A34" s="578"/>
      <c r="B34" s="248" t="s">
        <v>205</v>
      </c>
      <c r="C34" s="245" t="s">
        <v>206</v>
      </c>
      <c r="D34" s="580"/>
    </row>
    <row r="35" spans="1:5" s="246" customFormat="1" ht="69">
      <c r="A35" s="578"/>
      <c r="B35" s="248" t="s">
        <v>207</v>
      </c>
      <c r="C35" s="245" t="s">
        <v>208</v>
      </c>
      <c r="D35" s="580"/>
    </row>
    <row r="36" spans="1:5" s="246" customFormat="1" ht="27.6">
      <c r="A36" s="578"/>
      <c r="B36" s="248" t="s">
        <v>209</v>
      </c>
      <c r="C36" s="245" t="s">
        <v>210</v>
      </c>
      <c r="D36" s="580"/>
    </row>
    <row r="37" spans="1:5" s="246" customFormat="1" ht="27.6">
      <c r="A37" s="578"/>
      <c r="B37" s="248" t="s">
        <v>211</v>
      </c>
      <c r="C37" s="245" t="s">
        <v>212</v>
      </c>
      <c r="D37" s="580"/>
    </row>
    <row r="38" spans="1:5" s="246" customFormat="1" ht="41.4">
      <c r="A38" s="578"/>
      <c r="B38" s="248" t="s">
        <v>213</v>
      </c>
      <c r="C38" s="245" t="s">
        <v>214</v>
      </c>
      <c r="D38" s="580"/>
    </row>
    <row r="39" spans="1:5" s="246" customFormat="1" ht="27.6">
      <c r="A39" s="87" t="s">
        <v>151</v>
      </c>
      <c r="B39" s="245" t="s">
        <v>215</v>
      </c>
      <c r="C39" s="245" t="s">
        <v>216</v>
      </c>
      <c r="D39" s="249" t="s">
        <v>217</v>
      </c>
    </row>
    <row r="40" spans="1:5" s="246" customFormat="1" ht="14.1" customHeight="1">
      <c r="A40" s="581" t="s">
        <v>218</v>
      </c>
      <c r="B40" s="581"/>
      <c r="C40" s="581"/>
      <c r="D40" s="581"/>
    </row>
    <row r="41" spans="1:5" s="246" customFormat="1" ht="27.6">
      <c r="A41" s="578" t="s">
        <v>219</v>
      </c>
      <c r="B41" s="248" t="s">
        <v>220</v>
      </c>
      <c r="C41" s="245" t="s">
        <v>221</v>
      </c>
      <c r="D41" s="582"/>
      <c r="E41" s="247"/>
    </row>
    <row r="42" spans="1:5" s="246" customFormat="1" ht="27.6">
      <c r="A42" s="578"/>
      <c r="B42" s="250" t="s">
        <v>222</v>
      </c>
      <c r="C42" s="245" t="s">
        <v>221</v>
      </c>
      <c r="D42" s="582"/>
    </row>
    <row r="43" spans="1:5" s="246" customFormat="1" ht="13.8">
      <c r="A43" s="574" t="s">
        <v>223</v>
      </c>
      <c r="B43" s="574"/>
      <c r="C43" s="574"/>
      <c r="D43" s="574"/>
    </row>
    <row r="44" spans="1:5" s="246" customFormat="1" ht="27.6">
      <c r="A44" s="90" t="s">
        <v>224</v>
      </c>
      <c r="B44" s="248" t="s">
        <v>225</v>
      </c>
      <c r="C44" s="248" t="s">
        <v>226</v>
      </c>
      <c r="D44" s="251" t="s">
        <v>227</v>
      </c>
    </row>
    <row r="45" spans="1:5" s="246" customFormat="1" ht="41.4">
      <c r="A45" s="572" t="s">
        <v>228</v>
      </c>
      <c r="B45" s="248" t="s">
        <v>229</v>
      </c>
      <c r="C45" s="248" t="s">
        <v>230</v>
      </c>
      <c r="D45" s="251" t="s">
        <v>231</v>
      </c>
    </row>
    <row r="46" spans="1:5" s="246" customFormat="1" ht="27.6">
      <c r="A46" s="572"/>
      <c r="B46" s="248" t="s">
        <v>232</v>
      </c>
      <c r="C46" s="248" t="s">
        <v>233</v>
      </c>
      <c r="D46" s="251" t="s">
        <v>234</v>
      </c>
    </row>
    <row r="47" spans="1:5" s="246" customFormat="1" ht="41.4">
      <c r="A47" s="572"/>
      <c r="B47" s="248" t="s">
        <v>235</v>
      </c>
      <c r="C47" s="248" t="s">
        <v>236</v>
      </c>
      <c r="D47" s="251" t="s">
        <v>237</v>
      </c>
    </row>
    <row r="48" spans="1:5" s="246" customFormat="1" ht="41.4">
      <c r="A48" s="572" t="s">
        <v>238</v>
      </c>
      <c r="B48" s="248" t="s">
        <v>239</v>
      </c>
      <c r="C48" s="248" t="s">
        <v>240</v>
      </c>
      <c r="D48" s="251" t="s">
        <v>241</v>
      </c>
    </row>
    <row r="49" spans="1:4" s="246" customFormat="1" ht="41.4">
      <c r="A49" s="572"/>
      <c r="B49" s="248" t="s">
        <v>242</v>
      </c>
      <c r="C49" s="248" t="s">
        <v>243</v>
      </c>
      <c r="D49" s="251" t="s">
        <v>244</v>
      </c>
    </row>
    <row r="50" spans="1:4" s="252" customFormat="1" ht="13.8">
      <c r="A50" s="572"/>
      <c r="B50" s="245" t="s">
        <v>245</v>
      </c>
      <c r="C50" s="245" t="s">
        <v>233</v>
      </c>
      <c r="D50" s="249" t="s">
        <v>246</v>
      </c>
    </row>
    <row r="51" spans="1:4" s="246" customFormat="1" ht="41.4">
      <c r="A51" s="572"/>
      <c r="B51" s="248" t="s">
        <v>247</v>
      </c>
      <c r="C51" s="248" t="s">
        <v>248</v>
      </c>
      <c r="D51" s="251" t="s">
        <v>249</v>
      </c>
    </row>
    <row r="52" spans="1:4" s="246" customFormat="1" ht="41.4">
      <c r="A52" s="572"/>
      <c r="B52" s="248" t="s">
        <v>250</v>
      </c>
      <c r="C52" s="248" t="s">
        <v>251</v>
      </c>
      <c r="D52" s="251" t="s">
        <v>252</v>
      </c>
    </row>
    <row r="53" spans="1:4" s="246" customFormat="1" ht="13.8">
      <c r="A53" s="574" t="s">
        <v>253</v>
      </c>
      <c r="B53" s="575"/>
      <c r="C53" s="575"/>
      <c r="D53" s="575"/>
    </row>
    <row r="54" spans="1:4" s="253" customFormat="1" ht="27.6">
      <c r="A54" s="90" t="s">
        <v>224</v>
      </c>
      <c r="B54" s="248" t="s">
        <v>225</v>
      </c>
      <c r="C54" s="248" t="s">
        <v>226</v>
      </c>
      <c r="D54" s="251" t="s">
        <v>254</v>
      </c>
    </row>
    <row r="55" spans="1:4" s="246" customFormat="1" ht="27.6">
      <c r="A55" s="90" t="s">
        <v>255</v>
      </c>
      <c r="B55" s="254" t="s">
        <v>256</v>
      </c>
      <c r="C55" s="245" t="s">
        <v>257</v>
      </c>
      <c r="D55" s="251" t="s">
        <v>258</v>
      </c>
    </row>
    <row r="56" spans="1:4" s="246" customFormat="1" ht="13.8">
      <c r="A56" s="574" t="s">
        <v>259</v>
      </c>
      <c r="B56" s="575"/>
      <c r="C56" s="575"/>
      <c r="D56" s="575"/>
    </row>
    <row r="57" spans="1:4" s="246" customFormat="1" ht="27.6">
      <c r="A57" s="90" t="s">
        <v>224</v>
      </c>
      <c r="B57" s="248" t="s">
        <v>225</v>
      </c>
      <c r="C57" s="248" t="s">
        <v>260</v>
      </c>
      <c r="D57" s="251" t="s">
        <v>261</v>
      </c>
    </row>
    <row r="58" spans="1:4" s="246" customFormat="1" ht="27.6">
      <c r="A58" s="572" t="s">
        <v>262</v>
      </c>
      <c r="B58" s="248" t="s">
        <v>263</v>
      </c>
      <c r="C58" s="248" t="s">
        <v>260</v>
      </c>
      <c r="D58" s="251" t="s">
        <v>264</v>
      </c>
    </row>
    <row r="59" spans="1:4" s="246" customFormat="1" ht="27.6">
      <c r="A59" s="572"/>
      <c r="B59" s="248" t="s">
        <v>265</v>
      </c>
      <c r="C59" s="248" t="s">
        <v>260</v>
      </c>
      <c r="D59" s="251" t="s">
        <v>266</v>
      </c>
    </row>
    <row r="60" spans="1:4" s="246" customFormat="1" ht="27.6">
      <c r="A60" s="572"/>
      <c r="B60" s="248" t="s">
        <v>267</v>
      </c>
      <c r="C60" s="248" t="s">
        <v>260</v>
      </c>
      <c r="D60" s="251" t="s">
        <v>268</v>
      </c>
    </row>
    <row r="61" spans="1:4" s="246" customFormat="1" ht="41.4">
      <c r="A61" s="572"/>
      <c r="B61" s="248" t="s">
        <v>269</v>
      </c>
      <c r="C61" s="248" t="s">
        <v>270</v>
      </c>
      <c r="D61" s="251" t="s">
        <v>271</v>
      </c>
    </row>
    <row r="62" spans="1:4" s="246" customFormat="1" ht="27.6">
      <c r="A62" s="572"/>
      <c r="B62" s="248" t="s">
        <v>272</v>
      </c>
      <c r="C62" s="245" t="s">
        <v>273</v>
      </c>
      <c r="D62" s="251" t="s">
        <v>274</v>
      </c>
    </row>
    <row r="63" spans="1:4" s="246" customFormat="1" ht="27.6">
      <c r="A63" s="572"/>
      <c r="B63" s="248" t="s">
        <v>275</v>
      </c>
      <c r="C63" s="248" t="s">
        <v>273</v>
      </c>
      <c r="D63" s="251" t="s">
        <v>276</v>
      </c>
    </row>
    <row r="64" spans="1:4" s="246" customFormat="1" ht="27.6">
      <c r="A64" s="572"/>
      <c r="B64" s="248" t="s">
        <v>277</v>
      </c>
      <c r="C64" s="245" t="s">
        <v>278</v>
      </c>
      <c r="D64" s="251" t="s">
        <v>279</v>
      </c>
    </row>
    <row r="65" spans="1:4" s="246" customFormat="1" ht="13.8">
      <c r="A65" s="574" t="s">
        <v>280</v>
      </c>
      <c r="B65" s="575"/>
      <c r="C65" s="575"/>
      <c r="D65" s="575"/>
    </row>
    <row r="66" spans="1:4" s="246" customFormat="1" ht="27.6">
      <c r="A66" s="90" t="s">
        <v>224</v>
      </c>
      <c r="B66" s="248" t="s">
        <v>225</v>
      </c>
      <c r="C66" s="254" t="s">
        <v>281</v>
      </c>
      <c r="D66" s="251" t="s">
        <v>282</v>
      </c>
    </row>
    <row r="67" spans="1:4" s="246" customFormat="1" ht="27.6">
      <c r="A67" s="572" t="s">
        <v>283</v>
      </c>
      <c r="B67" s="248" t="s">
        <v>284</v>
      </c>
      <c r="C67" s="254" t="s">
        <v>281</v>
      </c>
      <c r="D67" s="251" t="s">
        <v>285</v>
      </c>
    </row>
    <row r="68" spans="1:4" s="246" customFormat="1" ht="30" customHeight="1">
      <c r="A68" s="572"/>
      <c r="B68" s="248" t="s">
        <v>286</v>
      </c>
      <c r="C68" s="254" t="s">
        <v>281</v>
      </c>
      <c r="D68" s="251" t="s">
        <v>287</v>
      </c>
    </row>
    <row r="69" spans="1:4" s="246" customFormat="1" ht="41.4">
      <c r="A69" s="572"/>
      <c r="B69" s="248" t="s">
        <v>288</v>
      </c>
      <c r="C69" s="254" t="s">
        <v>289</v>
      </c>
      <c r="D69" s="251" t="s">
        <v>290</v>
      </c>
    </row>
    <row r="70" spans="1:4" s="246" customFormat="1" ht="41.4">
      <c r="A70" s="572"/>
      <c r="B70" s="250" t="s">
        <v>291</v>
      </c>
      <c r="C70" s="254" t="s">
        <v>292</v>
      </c>
      <c r="D70" s="251" t="s">
        <v>293</v>
      </c>
    </row>
    <row r="71" spans="1:4" s="246" customFormat="1" ht="41.4">
      <c r="A71" s="572"/>
      <c r="B71" s="250" t="s">
        <v>294</v>
      </c>
      <c r="C71" s="254" t="s">
        <v>295</v>
      </c>
      <c r="D71" s="251" t="s">
        <v>296</v>
      </c>
    </row>
    <row r="72" spans="1:4" s="246" customFormat="1" ht="13.8">
      <c r="A72" s="574" t="s">
        <v>297</v>
      </c>
      <c r="B72" s="575"/>
      <c r="C72" s="575"/>
      <c r="D72" s="575"/>
    </row>
    <row r="73" spans="1:4" s="246" customFormat="1" ht="27.6">
      <c r="A73" s="90" t="s">
        <v>224</v>
      </c>
      <c r="B73" s="248" t="s">
        <v>225</v>
      </c>
      <c r="C73" s="254" t="s">
        <v>298</v>
      </c>
      <c r="D73" s="251" t="s">
        <v>299</v>
      </c>
    </row>
    <row r="74" spans="1:4" s="246" customFormat="1" ht="27.6">
      <c r="A74" s="572" t="s">
        <v>151</v>
      </c>
      <c r="B74" s="248" t="s">
        <v>300</v>
      </c>
      <c r="C74" s="254" t="s">
        <v>281</v>
      </c>
      <c r="D74" s="251" t="s">
        <v>301</v>
      </c>
    </row>
    <row r="75" spans="1:4" s="246" customFormat="1" ht="13.8">
      <c r="A75" s="572"/>
      <c r="B75" s="248" t="s">
        <v>302</v>
      </c>
      <c r="C75" s="254" t="s">
        <v>303</v>
      </c>
      <c r="D75" s="251" t="s">
        <v>304</v>
      </c>
    </row>
    <row r="76" spans="1:4" s="246" customFormat="1" ht="13.8">
      <c r="A76" s="574" t="s">
        <v>305</v>
      </c>
      <c r="B76" s="575"/>
      <c r="C76" s="575"/>
      <c r="D76" s="575"/>
    </row>
    <row r="77" spans="1:4" s="246" customFormat="1" ht="40.5" customHeight="1">
      <c r="A77" s="90" t="s">
        <v>224</v>
      </c>
      <c r="B77" s="248" t="s">
        <v>225</v>
      </c>
      <c r="C77" s="254" t="s">
        <v>306</v>
      </c>
      <c r="D77" s="251" t="s">
        <v>307</v>
      </c>
    </row>
    <row r="78" spans="1:4" s="246" customFormat="1" ht="27.6">
      <c r="A78" s="572" t="s">
        <v>308</v>
      </c>
      <c r="B78" s="248" t="s">
        <v>309</v>
      </c>
      <c r="C78" s="254" t="s">
        <v>310</v>
      </c>
      <c r="D78" s="251" t="s">
        <v>311</v>
      </c>
    </row>
    <row r="79" spans="1:4" s="246" customFormat="1" ht="27.6">
      <c r="A79" s="572"/>
      <c r="B79" s="248" t="s">
        <v>312</v>
      </c>
      <c r="C79" s="254" t="s">
        <v>313</v>
      </c>
      <c r="D79" s="251" t="s">
        <v>314</v>
      </c>
    </row>
    <row r="80" spans="1:4" s="246" customFormat="1" ht="30" customHeight="1">
      <c r="A80" s="572"/>
      <c r="B80" s="248" t="s">
        <v>315</v>
      </c>
      <c r="C80" s="254" t="s">
        <v>316</v>
      </c>
      <c r="D80" s="251" t="s">
        <v>317</v>
      </c>
    </row>
    <row r="81" spans="1:4" s="246" customFormat="1" ht="30" customHeight="1">
      <c r="A81" s="572"/>
      <c r="B81" s="248" t="s">
        <v>318</v>
      </c>
      <c r="C81" s="254" t="s">
        <v>319</v>
      </c>
      <c r="D81" s="251" t="s">
        <v>320</v>
      </c>
    </row>
    <row r="82" spans="1:4" s="246" customFormat="1" ht="13.8">
      <c r="A82" s="572"/>
      <c r="B82" s="248" t="s">
        <v>321</v>
      </c>
      <c r="C82" s="254" t="s">
        <v>233</v>
      </c>
      <c r="D82" s="251" t="s">
        <v>322</v>
      </c>
    </row>
    <row r="83" spans="1:4" s="246" customFormat="1" ht="13.8">
      <c r="A83" s="574" t="s">
        <v>323</v>
      </c>
      <c r="B83" s="575"/>
      <c r="C83" s="575"/>
      <c r="D83" s="575"/>
    </row>
    <row r="84" spans="1:4" s="246" customFormat="1" ht="27.6">
      <c r="A84" s="90" t="s">
        <v>224</v>
      </c>
      <c r="B84" s="248" t="s">
        <v>225</v>
      </c>
      <c r="C84" s="248" t="s">
        <v>324</v>
      </c>
      <c r="D84" s="251" t="s">
        <v>325</v>
      </c>
    </row>
    <row r="85" spans="1:4" s="246" customFormat="1" ht="41.4">
      <c r="A85" s="88" t="s">
        <v>326</v>
      </c>
      <c r="B85" s="248" t="s">
        <v>327</v>
      </c>
      <c r="C85" s="248" t="s">
        <v>328</v>
      </c>
      <c r="D85" s="89" t="s">
        <v>329</v>
      </c>
    </row>
    <row r="86" spans="1:4" s="246" customFormat="1" ht="28.5" customHeight="1">
      <c r="A86" s="90" t="s">
        <v>330</v>
      </c>
      <c r="B86" s="248" t="s">
        <v>331</v>
      </c>
      <c r="C86" s="248" t="s">
        <v>233</v>
      </c>
      <c r="D86" s="89" t="s">
        <v>332</v>
      </c>
    </row>
    <row r="87" spans="1:4" s="246" customFormat="1" ht="41.4">
      <c r="A87" s="572" t="s">
        <v>151</v>
      </c>
      <c r="B87" s="248" t="s">
        <v>333</v>
      </c>
      <c r="C87" s="248" t="s">
        <v>334</v>
      </c>
      <c r="D87" s="89" t="s">
        <v>335</v>
      </c>
    </row>
    <row r="88" spans="1:4" s="246" customFormat="1" ht="41.4">
      <c r="A88" s="572"/>
      <c r="B88" s="248" t="s">
        <v>336</v>
      </c>
      <c r="C88" s="248" t="s">
        <v>334</v>
      </c>
      <c r="D88" s="89" t="s">
        <v>337</v>
      </c>
    </row>
    <row r="89" spans="1:4" s="246" customFormat="1" ht="41.4">
      <c r="A89" s="572"/>
      <c r="B89" s="248" t="s">
        <v>338</v>
      </c>
      <c r="C89" s="248" t="s">
        <v>334</v>
      </c>
      <c r="D89" s="89" t="s">
        <v>339</v>
      </c>
    </row>
    <row r="90" spans="1:4" s="246" customFormat="1" ht="13.8">
      <c r="A90" s="572"/>
      <c r="B90" s="248" t="s">
        <v>340</v>
      </c>
      <c r="C90" s="248" t="s">
        <v>341</v>
      </c>
      <c r="D90" s="89" t="s">
        <v>342</v>
      </c>
    </row>
    <row r="91" spans="1:4" s="246" customFormat="1" ht="27.6">
      <c r="A91" s="572"/>
      <c r="B91" s="248" t="s">
        <v>343</v>
      </c>
      <c r="C91" s="248" t="s">
        <v>344</v>
      </c>
      <c r="D91" s="89" t="s">
        <v>345</v>
      </c>
    </row>
    <row r="92" spans="1:4" s="246" customFormat="1" ht="55.2">
      <c r="A92" s="572"/>
      <c r="B92" s="248" t="s">
        <v>346</v>
      </c>
      <c r="C92" s="248" t="s">
        <v>347</v>
      </c>
      <c r="D92" s="89" t="s">
        <v>348</v>
      </c>
    </row>
    <row r="93" spans="1:4" s="246" customFormat="1" ht="13.8">
      <c r="A93" s="574" t="s">
        <v>349</v>
      </c>
      <c r="B93" s="575"/>
      <c r="C93" s="575"/>
      <c r="D93" s="575"/>
    </row>
    <row r="94" spans="1:4" s="246" customFormat="1" ht="27.6">
      <c r="A94" s="90" t="s">
        <v>224</v>
      </c>
      <c r="B94" s="248" t="s">
        <v>225</v>
      </c>
      <c r="C94" s="248" t="s">
        <v>350</v>
      </c>
      <c r="D94" s="89" t="s">
        <v>351</v>
      </c>
    </row>
    <row r="95" spans="1:4" s="246" customFormat="1" ht="32.25" customHeight="1">
      <c r="A95" s="90" t="s">
        <v>352</v>
      </c>
      <c r="B95" s="248" t="s">
        <v>353</v>
      </c>
      <c r="C95" s="248" t="s">
        <v>354</v>
      </c>
      <c r="D95" s="89" t="s">
        <v>355</v>
      </c>
    </row>
    <row r="96" spans="1:4" s="246" customFormat="1" ht="20.25" customHeight="1">
      <c r="A96" s="572" t="s">
        <v>356</v>
      </c>
      <c r="B96" s="248" t="s">
        <v>357</v>
      </c>
      <c r="C96" s="248" t="s">
        <v>358</v>
      </c>
      <c r="D96" s="89" t="s">
        <v>359</v>
      </c>
    </row>
    <row r="97" spans="1:4" s="246" customFormat="1" ht="15.75" customHeight="1">
      <c r="A97" s="572"/>
      <c r="B97" s="248" t="s">
        <v>360</v>
      </c>
      <c r="C97" s="248" t="s">
        <v>358</v>
      </c>
      <c r="D97" s="89" t="s">
        <v>361</v>
      </c>
    </row>
    <row r="98" spans="1:4" s="246" customFormat="1" ht="41.4">
      <c r="A98" s="90" t="s">
        <v>362</v>
      </c>
      <c r="B98" s="248" t="s">
        <v>363</v>
      </c>
      <c r="C98" s="248" t="s">
        <v>364</v>
      </c>
      <c r="D98" s="89" t="s">
        <v>365</v>
      </c>
    </row>
    <row r="99" spans="1:4" s="246" customFormat="1" ht="41.4">
      <c r="A99" s="90" t="s">
        <v>151</v>
      </c>
      <c r="B99" s="248" t="s">
        <v>366</v>
      </c>
      <c r="C99" s="248" t="s">
        <v>367</v>
      </c>
      <c r="D99" s="89" t="s">
        <v>368</v>
      </c>
    </row>
    <row r="100" spans="1:4" s="246" customFormat="1" ht="14.25" customHeight="1">
      <c r="A100" s="574" t="s">
        <v>369</v>
      </c>
      <c r="B100" s="574"/>
      <c r="C100" s="574"/>
      <c r="D100" s="574"/>
    </row>
    <row r="101" spans="1:4" s="246" customFormat="1" ht="28.5" customHeight="1">
      <c r="A101" s="90" t="s">
        <v>224</v>
      </c>
      <c r="B101" s="248" t="s">
        <v>225</v>
      </c>
      <c r="C101" s="254" t="s">
        <v>370</v>
      </c>
      <c r="D101" s="89" t="s">
        <v>371</v>
      </c>
    </row>
    <row r="102" spans="1:4" s="246" customFormat="1" ht="41.4">
      <c r="A102" s="572" t="s">
        <v>372</v>
      </c>
      <c r="B102" s="248" t="s">
        <v>373</v>
      </c>
      <c r="C102" s="254" t="s">
        <v>374</v>
      </c>
      <c r="D102" s="89" t="s">
        <v>375</v>
      </c>
    </row>
    <row r="103" spans="1:4" s="246" customFormat="1" ht="27.6">
      <c r="A103" s="572"/>
      <c r="B103" s="248" t="s">
        <v>376</v>
      </c>
      <c r="C103" s="254" t="s">
        <v>377</v>
      </c>
      <c r="D103" s="89" t="s">
        <v>378</v>
      </c>
    </row>
    <row r="104" spans="1:4" s="246" customFormat="1" ht="41.4">
      <c r="A104" s="90" t="s">
        <v>151</v>
      </c>
      <c r="B104" s="248" t="s">
        <v>379</v>
      </c>
      <c r="C104" s="254" t="s">
        <v>380</v>
      </c>
      <c r="D104" s="89" t="s">
        <v>381</v>
      </c>
    </row>
    <row r="105" spans="1:4" s="246" customFormat="1" ht="13.8">
      <c r="A105" s="574" t="s">
        <v>382</v>
      </c>
      <c r="B105" s="575"/>
      <c r="C105" s="575"/>
      <c r="D105" s="575"/>
    </row>
    <row r="106" spans="1:4" s="246" customFormat="1" ht="27.6">
      <c r="A106" s="90" t="s">
        <v>224</v>
      </c>
      <c r="B106" s="248" t="s">
        <v>225</v>
      </c>
      <c r="C106" s="254" t="s">
        <v>383</v>
      </c>
      <c r="D106" s="89" t="s">
        <v>384</v>
      </c>
    </row>
    <row r="107" spans="1:4" s="246" customFormat="1" ht="41.4">
      <c r="A107" s="90" t="s">
        <v>385</v>
      </c>
      <c r="B107" s="248" t="s">
        <v>386</v>
      </c>
      <c r="C107" s="254" t="s">
        <v>387</v>
      </c>
      <c r="D107" s="89" t="s">
        <v>388</v>
      </c>
    </row>
    <row r="108" spans="1:4" s="246" customFormat="1" ht="41.4">
      <c r="A108" s="572" t="s">
        <v>151</v>
      </c>
      <c r="B108" s="248" t="s">
        <v>389</v>
      </c>
      <c r="C108" s="254" t="s">
        <v>390</v>
      </c>
      <c r="D108" s="89" t="s">
        <v>391</v>
      </c>
    </row>
    <row r="109" spans="1:4" s="246" customFormat="1" ht="41.4">
      <c r="A109" s="572"/>
      <c r="B109" s="248" t="s">
        <v>392</v>
      </c>
      <c r="C109" s="254" t="s">
        <v>393</v>
      </c>
      <c r="D109" s="89" t="s">
        <v>394</v>
      </c>
    </row>
    <row r="110" spans="1:4" s="246" customFormat="1" ht="13.8">
      <c r="A110" s="574" t="s">
        <v>395</v>
      </c>
      <c r="B110" s="575"/>
      <c r="C110" s="575"/>
      <c r="D110" s="575"/>
    </row>
    <row r="111" spans="1:4" s="246" customFormat="1" ht="27.6">
      <c r="A111" s="90" t="s">
        <v>224</v>
      </c>
      <c r="B111" s="248" t="s">
        <v>225</v>
      </c>
      <c r="C111" s="254" t="s">
        <v>370</v>
      </c>
      <c r="D111" s="89" t="s">
        <v>396</v>
      </c>
    </row>
    <row r="112" spans="1:4" s="246" customFormat="1" ht="41.4">
      <c r="A112" s="572" t="s">
        <v>151</v>
      </c>
      <c r="B112" s="248" t="s">
        <v>397</v>
      </c>
      <c r="C112" s="254" t="s">
        <v>398</v>
      </c>
      <c r="D112" s="89" t="s">
        <v>399</v>
      </c>
    </row>
    <row r="113" spans="1:4" s="246" customFormat="1" ht="41.4">
      <c r="A113" s="572"/>
      <c r="B113" s="248" t="s">
        <v>400</v>
      </c>
      <c r="C113" s="254" t="s">
        <v>401</v>
      </c>
      <c r="D113" s="89" t="s">
        <v>402</v>
      </c>
    </row>
    <row r="114" spans="1:4" s="246" customFormat="1" ht="13.8">
      <c r="A114" s="574" t="s">
        <v>403</v>
      </c>
      <c r="B114" s="575"/>
      <c r="C114" s="575"/>
      <c r="D114" s="575"/>
    </row>
    <row r="115" spans="1:4" s="246" customFormat="1" ht="27.6">
      <c r="A115" s="90" t="s">
        <v>224</v>
      </c>
      <c r="B115" s="248" t="s">
        <v>225</v>
      </c>
      <c r="C115" s="254" t="s">
        <v>404</v>
      </c>
      <c r="D115" s="89" t="s">
        <v>405</v>
      </c>
    </row>
    <row r="116" spans="1:4" s="246" customFormat="1" ht="41.4">
      <c r="A116" s="572" t="s">
        <v>151</v>
      </c>
      <c r="B116" s="248" t="s">
        <v>406</v>
      </c>
      <c r="C116" s="254" t="s">
        <v>407</v>
      </c>
      <c r="D116" s="89" t="s">
        <v>408</v>
      </c>
    </row>
    <row r="117" spans="1:4" s="246" customFormat="1" ht="41.4">
      <c r="A117" s="572"/>
      <c r="B117" s="248" t="s">
        <v>409</v>
      </c>
      <c r="C117" s="254" t="s">
        <v>407</v>
      </c>
      <c r="D117" s="89" t="s">
        <v>410</v>
      </c>
    </row>
    <row r="118" spans="1:4" s="246" customFormat="1" ht="13.8">
      <c r="A118" s="574" t="s">
        <v>411</v>
      </c>
      <c r="B118" s="575"/>
      <c r="C118" s="575"/>
      <c r="D118" s="575"/>
    </row>
    <row r="119" spans="1:4" s="246" customFormat="1" ht="27.6">
      <c r="A119" s="90" t="s">
        <v>224</v>
      </c>
      <c r="B119" s="248" t="s">
        <v>225</v>
      </c>
      <c r="C119" s="254" t="s">
        <v>412</v>
      </c>
      <c r="D119" s="89" t="s">
        <v>413</v>
      </c>
    </row>
    <row r="120" spans="1:4" s="246" customFormat="1" ht="27.6">
      <c r="A120" s="90" t="s">
        <v>414</v>
      </c>
      <c r="B120" s="248" t="s">
        <v>415</v>
      </c>
      <c r="C120" s="254" t="s">
        <v>416</v>
      </c>
      <c r="D120" s="89" t="s">
        <v>417</v>
      </c>
    </row>
    <row r="121" spans="1:4" s="246" customFormat="1" ht="13.8">
      <c r="A121" s="574" t="s">
        <v>418</v>
      </c>
      <c r="B121" s="575"/>
      <c r="C121" s="575"/>
      <c r="D121" s="575"/>
    </row>
    <row r="122" spans="1:4" s="246" customFormat="1" ht="27.6">
      <c r="A122" s="90" t="s">
        <v>224</v>
      </c>
      <c r="B122" s="248" t="s">
        <v>225</v>
      </c>
      <c r="C122" s="254" t="s">
        <v>281</v>
      </c>
      <c r="D122" s="89" t="s">
        <v>419</v>
      </c>
    </row>
    <row r="123" spans="1:4" s="246" customFormat="1" ht="41.4">
      <c r="A123" s="90" t="s">
        <v>420</v>
      </c>
      <c r="B123" s="248" t="s">
        <v>421</v>
      </c>
      <c r="C123" s="254" t="s">
        <v>422</v>
      </c>
      <c r="D123" s="89" t="s">
        <v>423</v>
      </c>
    </row>
    <row r="124" spans="1:4" s="246" customFormat="1" ht="41.4">
      <c r="A124" s="572" t="s">
        <v>151</v>
      </c>
      <c r="B124" s="248" t="s">
        <v>424</v>
      </c>
      <c r="C124" s="254" t="s">
        <v>425</v>
      </c>
      <c r="D124" s="89" t="s">
        <v>426</v>
      </c>
    </row>
    <row r="125" spans="1:4" s="246" customFormat="1" ht="27.6">
      <c r="A125" s="572"/>
      <c r="B125" s="248" t="s">
        <v>427</v>
      </c>
      <c r="C125" s="254" t="s">
        <v>428</v>
      </c>
      <c r="D125" s="89" t="s">
        <v>426</v>
      </c>
    </row>
    <row r="126" spans="1:4" s="246" customFormat="1" ht="13.8">
      <c r="A126" s="574" t="s">
        <v>429</v>
      </c>
      <c r="B126" s="575"/>
      <c r="C126" s="575"/>
      <c r="D126" s="575"/>
    </row>
    <row r="127" spans="1:4" s="246" customFormat="1" ht="27.6">
      <c r="A127" s="90" t="s">
        <v>224</v>
      </c>
      <c r="B127" s="248" t="s">
        <v>225</v>
      </c>
      <c r="C127" s="254" t="s">
        <v>430</v>
      </c>
      <c r="D127" s="89" t="s">
        <v>431</v>
      </c>
    </row>
    <row r="128" spans="1:4" s="246" customFormat="1" ht="27.6">
      <c r="A128" s="572" t="s">
        <v>432</v>
      </c>
      <c r="B128" s="248" t="s">
        <v>433</v>
      </c>
      <c r="C128" s="254" t="s">
        <v>430</v>
      </c>
      <c r="D128" s="89" t="s">
        <v>434</v>
      </c>
    </row>
    <row r="129" spans="1:4" s="246" customFormat="1" ht="27.6">
      <c r="A129" s="572"/>
      <c r="B129" s="248" t="s">
        <v>435</v>
      </c>
      <c r="C129" s="254" t="s">
        <v>430</v>
      </c>
      <c r="D129" s="89" t="s">
        <v>436</v>
      </c>
    </row>
    <row r="130" spans="1:4" s="246" customFormat="1" ht="27.6">
      <c r="A130" s="572"/>
      <c r="B130" s="248" t="s">
        <v>437</v>
      </c>
      <c r="C130" s="254" t="s">
        <v>430</v>
      </c>
      <c r="D130" s="89" t="s">
        <v>438</v>
      </c>
    </row>
    <row r="131" spans="1:4" s="246" customFormat="1" ht="30" customHeight="1">
      <c r="A131" s="572"/>
      <c r="B131" s="248" t="s">
        <v>439</v>
      </c>
      <c r="C131" s="254" t="s">
        <v>430</v>
      </c>
      <c r="D131" s="89" t="s">
        <v>440</v>
      </c>
    </row>
    <row r="132" spans="1:4" s="246" customFormat="1" ht="41.4">
      <c r="A132" s="572"/>
      <c r="B132" s="248" t="s">
        <v>441</v>
      </c>
      <c r="C132" s="254" t="s">
        <v>442</v>
      </c>
      <c r="D132" s="89" t="s">
        <v>443</v>
      </c>
    </row>
    <row r="133" spans="1:4" s="246" customFormat="1" ht="27.6">
      <c r="A133" s="572"/>
      <c r="B133" s="248" t="s">
        <v>444</v>
      </c>
      <c r="C133" s="254" t="s">
        <v>430</v>
      </c>
      <c r="D133" s="89" t="s">
        <v>445</v>
      </c>
    </row>
    <row r="134" spans="1:4" s="246" customFormat="1" ht="41.4">
      <c r="A134" s="572"/>
      <c r="B134" s="248" t="s">
        <v>446</v>
      </c>
      <c r="C134" s="254" t="s">
        <v>430</v>
      </c>
      <c r="D134" s="89" t="s">
        <v>447</v>
      </c>
    </row>
    <row r="135" spans="1:4" s="246" customFormat="1" ht="27.6">
      <c r="A135" s="572"/>
      <c r="B135" s="248" t="s">
        <v>448</v>
      </c>
      <c r="C135" s="254" t="s">
        <v>449</v>
      </c>
      <c r="D135" s="89" t="s">
        <v>450</v>
      </c>
    </row>
    <row r="136" spans="1:4" s="246" customFormat="1" ht="41.4">
      <c r="A136" s="572"/>
      <c r="B136" s="256" t="s">
        <v>451</v>
      </c>
      <c r="C136" s="254" t="s">
        <v>452</v>
      </c>
      <c r="D136" s="89" t="s">
        <v>453</v>
      </c>
    </row>
    <row r="137" spans="1:4" s="246" customFormat="1" ht="41.4">
      <c r="A137" s="572"/>
      <c r="B137" s="248" t="s">
        <v>454</v>
      </c>
      <c r="C137" s="254" t="s">
        <v>455</v>
      </c>
      <c r="D137" s="89" t="s">
        <v>456</v>
      </c>
    </row>
    <row r="138" spans="1:4" s="246" customFormat="1" ht="13.8">
      <c r="A138" s="574" t="s">
        <v>457</v>
      </c>
      <c r="B138" s="575"/>
      <c r="C138" s="575"/>
      <c r="D138" s="575"/>
    </row>
    <row r="139" spans="1:4" s="246" customFormat="1" ht="27" customHeight="1">
      <c r="A139" s="90" t="s">
        <v>224</v>
      </c>
      <c r="B139" s="248" t="s">
        <v>225</v>
      </c>
      <c r="C139" s="254" t="s">
        <v>458</v>
      </c>
      <c r="D139" s="89" t="s">
        <v>459</v>
      </c>
    </row>
    <row r="140" spans="1:4" s="246" customFormat="1" ht="27.6">
      <c r="A140" s="90" t="s">
        <v>460</v>
      </c>
      <c r="B140" s="248" t="s">
        <v>461</v>
      </c>
      <c r="C140" s="254" t="s">
        <v>462</v>
      </c>
      <c r="D140" s="89" t="s">
        <v>463</v>
      </c>
    </row>
    <row r="141" spans="1:4" s="246" customFormat="1" ht="30" customHeight="1">
      <c r="A141" s="572" t="s">
        <v>464</v>
      </c>
      <c r="B141" s="248" t="s">
        <v>465</v>
      </c>
      <c r="C141" s="254" t="s">
        <v>466</v>
      </c>
      <c r="D141" s="89" t="s">
        <v>467</v>
      </c>
    </row>
    <row r="142" spans="1:4" s="246" customFormat="1" ht="27.6">
      <c r="A142" s="572"/>
      <c r="B142" s="248" t="s">
        <v>468</v>
      </c>
      <c r="C142" s="255" t="s">
        <v>233</v>
      </c>
      <c r="D142" s="89" t="s">
        <v>469</v>
      </c>
    </row>
    <row r="143" spans="1:4" s="246" customFormat="1" ht="29.4" customHeight="1">
      <c r="A143" s="572"/>
      <c r="B143" s="248" t="s">
        <v>470</v>
      </c>
      <c r="C143" s="254" t="s">
        <v>471</v>
      </c>
      <c r="D143" s="89" t="s">
        <v>472</v>
      </c>
    </row>
    <row r="144" spans="1:4" s="246" customFormat="1" ht="41.4">
      <c r="A144" s="88" t="s">
        <v>326</v>
      </c>
      <c r="B144" s="254" t="s">
        <v>327</v>
      </c>
      <c r="C144" s="254" t="s">
        <v>328</v>
      </c>
      <c r="D144" s="89" t="s">
        <v>473</v>
      </c>
    </row>
    <row r="145" spans="1:5" s="246" customFormat="1" ht="13.8">
      <c r="A145" s="572" t="s">
        <v>330</v>
      </c>
      <c r="B145" s="248" t="s">
        <v>474</v>
      </c>
      <c r="C145" s="248" t="s">
        <v>233</v>
      </c>
      <c r="D145" s="89" t="s">
        <v>475</v>
      </c>
    </row>
    <row r="146" spans="1:5" s="246" customFormat="1" ht="27.6">
      <c r="A146" s="572"/>
      <c r="B146" s="248" t="s">
        <v>331</v>
      </c>
      <c r="C146" s="248" t="s">
        <v>233</v>
      </c>
      <c r="D146" s="89" t="s">
        <v>476</v>
      </c>
    </row>
    <row r="147" spans="1:5" s="246" customFormat="1" ht="27.6">
      <c r="A147" s="572" t="s">
        <v>477</v>
      </c>
      <c r="B147" s="248" t="s">
        <v>478</v>
      </c>
      <c r="C147" s="254" t="s">
        <v>479</v>
      </c>
      <c r="D147" s="89" t="s">
        <v>480</v>
      </c>
    </row>
    <row r="148" spans="1:5" s="246" customFormat="1" ht="27.6">
      <c r="A148" s="572"/>
      <c r="B148" s="248" t="s">
        <v>481</v>
      </c>
      <c r="C148" s="254" t="s">
        <v>233</v>
      </c>
      <c r="D148" s="89" t="s">
        <v>482</v>
      </c>
    </row>
    <row r="149" spans="1:5" s="246" customFormat="1" ht="13.8">
      <c r="A149" s="574" t="s">
        <v>483</v>
      </c>
      <c r="B149" s="575"/>
      <c r="C149" s="575"/>
      <c r="D149" s="575"/>
      <c r="E149" s="247"/>
    </row>
    <row r="150" spans="1:5" s="246" customFormat="1" ht="27.6">
      <c r="A150" s="90" t="s">
        <v>224</v>
      </c>
      <c r="B150" s="248" t="s">
        <v>225</v>
      </c>
      <c r="C150" s="248" t="s">
        <v>484</v>
      </c>
      <c r="D150" s="89" t="s">
        <v>485</v>
      </c>
    </row>
    <row r="151" spans="1:5" s="252" customFormat="1" ht="27.6">
      <c r="A151" s="257" t="s">
        <v>486</v>
      </c>
      <c r="B151" s="245" t="s">
        <v>487</v>
      </c>
      <c r="C151" s="255" t="s">
        <v>488</v>
      </c>
      <c r="D151" s="258" t="s">
        <v>489</v>
      </c>
    </row>
    <row r="152" spans="1:5" s="252" customFormat="1" ht="41.4">
      <c r="A152" s="87" t="s">
        <v>477</v>
      </c>
      <c r="B152" s="245" t="s">
        <v>478</v>
      </c>
      <c r="C152" s="254" t="s">
        <v>479</v>
      </c>
      <c r="D152" s="258" t="s">
        <v>490</v>
      </c>
    </row>
    <row r="153" spans="1:5" s="252" customFormat="1" ht="13.8">
      <c r="A153" s="576" t="s">
        <v>491</v>
      </c>
      <c r="B153" s="577"/>
      <c r="C153" s="577"/>
      <c r="D153" s="577"/>
    </row>
    <row r="154" spans="1:5" s="252" customFormat="1" ht="27.6">
      <c r="A154" s="257" t="s">
        <v>224</v>
      </c>
      <c r="B154" s="245" t="s">
        <v>225</v>
      </c>
      <c r="C154" s="245" t="s">
        <v>492</v>
      </c>
      <c r="D154" s="258" t="s">
        <v>493</v>
      </c>
    </row>
    <row r="155" spans="1:5" s="252" customFormat="1" ht="41.4">
      <c r="A155" s="257" t="s">
        <v>494</v>
      </c>
      <c r="B155" s="245" t="s">
        <v>495</v>
      </c>
      <c r="C155" s="255" t="s">
        <v>488</v>
      </c>
      <c r="D155" s="258" t="s">
        <v>496</v>
      </c>
    </row>
    <row r="156" spans="1:5" s="246" customFormat="1" ht="41.4">
      <c r="A156" s="90" t="s">
        <v>477</v>
      </c>
      <c r="B156" s="248" t="s">
        <v>478</v>
      </c>
      <c r="C156" s="254" t="s">
        <v>479</v>
      </c>
      <c r="D156" s="89" t="s">
        <v>497</v>
      </c>
    </row>
    <row r="157" spans="1:5" s="246" customFormat="1" ht="13.8">
      <c r="A157" s="574" t="s">
        <v>498</v>
      </c>
      <c r="B157" s="575"/>
      <c r="C157" s="575"/>
      <c r="D157" s="575"/>
    </row>
    <row r="158" spans="1:5" s="246" customFormat="1" ht="27.6">
      <c r="A158" s="90" t="s">
        <v>224</v>
      </c>
      <c r="B158" s="248" t="s">
        <v>225</v>
      </c>
      <c r="C158" s="254" t="s">
        <v>458</v>
      </c>
      <c r="D158" s="89" t="s">
        <v>499</v>
      </c>
    </row>
    <row r="159" spans="1:5" s="246" customFormat="1" ht="55.2">
      <c r="A159" s="88" t="s">
        <v>500</v>
      </c>
      <c r="B159" s="248" t="s">
        <v>501</v>
      </c>
      <c r="C159" s="254" t="s">
        <v>214</v>
      </c>
      <c r="D159" s="89" t="s">
        <v>502</v>
      </c>
    </row>
    <row r="160" spans="1:5" s="246" customFormat="1" ht="41.4">
      <c r="A160" s="88" t="s">
        <v>151</v>
      </c>
      <c r="B160" s="248" t="s">
        <v>503</v>
      </c>
      <c r="C160" s="254" t="s">
        <v>504</v>
      </c>
      <c r="D160" s="89" t="s">
        <v>505</v>
      </c>
    </row>
    <row r="161" spans="1:4" s="246" customFormat="1" ht="13.8">
      <c r="A161" s="574" t="s">
        <v>506</v>
      </c>
      <c r="B161" s="575"/>
      <c r="C161" s="575"/>
      <c r="D161" s="575"/>
    </row>
    <row r="162" spans="1:4" s="246" customFormat="1" ht="27.6">
      <c r="A162" s="90" t="s">
        <v>224</v>
      </c>
      <c r="B162" s="248" t="s">
        <v>225</v>
      </c>
      <c r="C162" s="254" t="s">
        <v>458</v>
      </c>
      <c r="D162" s="89" t="s">
        <v>507</v>
      </c>
    </row>
    <row r="163" spans="1:4" s="246" customFormat="1" ht="27.6">
      <c r="A163" s="88" t="s">
        <v>460</v>
      </c>
      <c r="B163" s="248" t="s">
        <v>508</v>
      </c>
      <c r="C163" s="254" t="s">
        <v>233</v>
      </c>
      <c r="D163" s="89" t="s">
        <v>509</v>
      </c>
    </row>
    <row r="164" spans="1:4" s="246" customFormat="1" ht="41.4">
      <c r="A164" s="88" t="s">
        <v>464</v>
      </c>
      <c r="B164" s="248" t="s">
        <v>470</v>
      </c>
      <c r="C164" s="248" t="s">
        <v>510</v>
      </c>
      <c r="D164" s="89" t="s">
        <v>511</v>
      </c>
    </row>
    <row r="165" spans="1:4" s="246" customFormat="1" ht="27.6">
      <c r="A165" s="88" t="s">
        <v>330</v>
      </c>
      <c r="B165" s="248" t="s">
        <v>512</v>
      </c>
      <c r="C165" s="254" t="s">
        <v>233</v>
      </c>
      <c r="D165" s="89" t="s">
        <v>513</v>
      </c>
    </row>
    <row r="166" spans="1:4" s="246" customFormat="1" ht="41.4">
      <c r="A166" s="572" t="s">
        <v>514</v>
      </c>
      <c r="B166" s="248" t="s">
        <v>515</v>
      </c>
      <c r="C166" s="254" t="s">
        <v>516</v>
      </c>
      <c r="D166" s="89" t="s">
        <v>517</v>
      </c>
    </row>
    <row r="167" spans="1:4" s="246" customFormat="1" ht="27.6">
      <c r="A167" s="572"/>
      <c r="B167" s="248" t="s">
        <v>518</v>
      </c>
      <c r="C167" s="254" t="s">
        <v>519</v>
      </c>
      <c r="D167" s="89" t="s">
        <v>520</v>
      </c>
    </row>
    <row r="168" spans="1:4" s="246" customFormat="1" ht="41.4">
      <c r="A168" s="88" t="s">
        <v>521</v>
      </c>
      <c r="B168" s="248" t="s">
        <v>522</v>
      </c>
      <c r="C168" s="255" t="s">
        <v>523</v>
      </c>
      <c r="D168" s="89" t="s">
        <v>524</v>
      </c>
    </row>
    <row r="169" spans="1:4" s="246" customFormat="1" ht="13.8">
      <c r="A169" s="574" t="s">
        <v>525</v>
      </c>
      <c r="B169" s="575"/>
      <c r="C169" s="575"/>
      <c r="D169" s="575"/>
    </row>
    <row r="170" spans="1:4" s="246" customFormat="1" ht="27.6">
      <c r="A170" s="90" t="s">
        <v>224</v>
      </c>
      <c r="B170" s="248" t="s">
        <v>225</v>
      </c>
      <c r="C170" s="248" t="s">
        <v>526</v>
      </c>
      <c r="D170" s="89" t="s">
        <v>527</v>
      </c>
    </row>
    <row r="171" spans="1:4" s="246" customFormat="1" ht="41.4">
      <c r="A171" s="572" t="s">
        <v>528</v>
      </c>
      <c r="B171" s="248" t="s">
        <v>529</v>
      </c>
      <c r="C171" s="248" t="s">
        <v>530</v>
      </c>
      <c r="D171" s="89" t="s">
        <v>531</v>
      </c>
    </row>
    <row r="172" spans="1:4" s="246" customFormat="1" ht="27.6">
      <c r="A172" s="572"/>
      <c r="B172" s="248" t="s">
        <v>532</v>
      </c>
      <c r="C172" s="248" t="s">
        <v>533</v>
      </c>
      <c r="D172" s="89" t="s">
        <v>534</v>
      </c>
    </row>
    <row r="173" spans="1:4" s="246" customFormat="1" ht="41.4">
      <c r="A173" s="572"/>
      <c r="B173" s="248" t="s">
        <v>535</v>
      </c>
      <c r="C173" s="248" t="s">
        <v>536</v>
      </c>
      <c r="D173" s="89" t="s">
        <v>537</v>
      </c>
    </row>
    <row r="174" spans="1:4" s="246" customFormat="1" ht="27.6">
      <c r="A174" s="572" t="s">
        <v>151</v>
      </c>
      <c r="B174" s="248" t="s">
        <v>538</v>
      </c>
      <c r="C174" s="248" t="s">
        <v>539</v>
      </c>
      <c r="D174" s="89" t="s">
        <v>540</v>
      </c>
    </row>
    <row r="175" spans="1:4" s="246" customFormat="1" ht="18" customHeight="1">
      <c r="A175" s="572"/>
      <c r="B175" s="254" t="s">
        <v>541</v>
      </c>
      <c r="C175" s="248" t="s">
        <v>542</v>
      </c>
      <c r="D175" s="89" t="s">
        <v>543</v>
      </c>
    </row>
    <row r="176" spans="1:4" s="246" customFormat="1" ht="13.8">
      <c r="A176" s="574" t="s">
        <v>544</v>
      </c>
      <c r="B176" s="575"/>
      <c r="C176" s="575"/>
      <c r="D176" s="575"/>
    </row>
    <row r="177" spans="1:4" s="246" customFormat="1" ht="27.6">
      <c r="A177" s="90" t="s">
        <v>224</v>
      </c>
      <c r="B177" s="248" t="s">
        <v>225</v>
      </c>
      <c r="C177" s="248" t="s">
        <v>545</v>
      </c>
      <c r="D177" s="89" t="s">
        <v>546</v>
      </c>
    </row>
    <row r="178" spans="1:4" s="246" customFormat="1" ht="28.5" customHeight="1">
      <c r="A178" s="572" t="s">
        <v>352</v>
      </c>
      <c r="B178" s="248" t="s">
        <v>353</v>
      </c>
      <c r="C178" s="248" t="s">
        <v>354</v>
      </c>
      <c r="D178" s="89" t="s">
        <v>547</v>
      </c>
    </row>
    <row r="179" spans="1:4" s="246" customFormat="1" ht="13.8">
      <c r="A179" s="572"/>
      <c r="B179" s="248" t="s">
        <v>548</v>
      </c>
      <c r="C179" s="248" t="s">
        <v>233</v>
      </c>
      <c r="D179" s="89" t="s">
        <v>549</v>
      </c>
    </row>
    <row r="180" spans="1:4" s="246" customFormat="1" ht="27.6">
      <c r="A180" s="572" t="s">
        <v>550</v>
      </c>
      <c r="B180" s="248" t="s">
        <v>551</v>
      </c>
      <c r="C180" s="248" t="s">
        <v>545</v>
      </c>
      <c r="D180" s="89" t="s">
        <v>552</v>
      </c>
    </row>
    <row r="181" spans="1:4" s="246" customFormat="1" ht="27.6">
      <c r="A181" s="572"/>
      <c r="B181" s="248" t="s">
        <v>553</v>
      </c>
      <c r="C181" s="248" t="s">
        <v>545</v>
      </c>
      <c r="D181" s="89" t="s">
        <v>554</v>
      </c>
    </row>
    <row r="182" spans="1:4" s="246" customFormat="1" ht="27.6">
      <c r="A182" s="572"/>
      <c r="B182" s="248" t="s">
        <v>555</v>
      </c>
      <c r="C182" s="248" t="s">
        <v>545</v>
      </c>
      <c r="D182" s="89" t="s">
        <v>556</v>
      </c>
    </row>
    <row r="183" spans="1:4" s="246" customFormat="1" ht="13.8">
      <c r="A183" s="572"/>
      <c r="B183" s="248" t="s">
        <v>557</v>
      </c>
      <c r="C183" s="248" t="s">
        <v>558</v>
      </c>
      <c r="D183" s="89" t="s">
        <v>559</v>
      </c>
    </row>
    <row r="184" spans="1:4" s="246" customFormat="1" ht="27.6">
      <c r="A184" s="88" t="s">
        <v>151</v>
      </c>
      <c r="B184" s="248" t="s">
        <v>560</v>
      </c>
      <c r="C184" s="254" t="s">
        <v>561</v>
      </c>
      <c r="D184" s="89" t="s">
        <v>562</v>
      </c>
    </row>
    <row r="185" spans="1:4" s="246" customFormat="1" ht="13.8">
      <c r="A185" s="574" t="s">
        <v>563</v>
      </c>
      <c r="B185" s="575"/>
      <c r="C185" s="575"/>
      <c r="D185" s="575"/>
    </row>
    <row r="186" spans="1:4" s="246" customFormat="1" ht="27.6">
      <c r="A186" s="90" t="s">
        <v>224</v>
      </c>
      <c r="B186" s="248" t="s">
        <v>225</v>
      </c>
      <c r="C186" s="248" t="s">
        <v>545</v>
      </c>
      <c r="D186" s="89" t="s">
        <v>564</v>
      </c>
    </row>
    <row r="187" spans="1:4" s="246" customFormat="1" ht="27.6">
      <c r="A187" s="88" t="s">
        <v>565</v>
      </c>
      <c r="B187" s="248" t="s">
        <v>566</v>
      </c>
      <c r="C187" s="248" t="s">
        <v>539</v>
      </c>
      <c r="D187" s="89" t="s">
        <v>567</v>
      </c>
    </row>
    <row r="188" spans="1:4" s="246" customFormat="1" ht="13.8">
      <c r="A188" s="574" t="s">
        <v>568</v>
      </c>
      <c r="B188" s="575"/>
      <c r="C188" s="575"/>
      <c r="D188" s="575"/>
    </row>
    <row r="189" spans="1:4" s="246" customFormat="1" ht="27.6">
      <c r="A189" s="90" t="s">
        <v>224</v>
      </c>
      <c r="B189" s="248" t="s">
        <v>225</v>
      </c>
      <c r="C189" s="254" t="s">
        <v>412</v>
      </c>
      <c r="D189" s="89" t="s">
        <v>569</v>
      </c>
    </row>
    <row r="190" spans="1:4" s="246" customFormat="1" ht="27.6">
      <c r="A190" s="572" t="s">
        <v>151</v>
      </c>
      <c r="B190" s="248" t="s">
        <v>570</v>
      </c>
      <c r="C190" s="255" t="s">
        <v>571</v>
      </c>
      <c r="D190" s="89" t="s">
        <v>572</v>
      </c>
    </row>
    <row r="191" spans="1:4" s="246" customFormat="1" ht="27.6">
      <c r="A191" s="572"/>
      <c r="B191" s="248" t="s">
        <v>573</v>
      </c>
      <c r="C191" s="255" t="s">
        <v>571</v>
      </c>
      <c r="D191" s="89" t="s">
        <v>574</v>
      </c>
    </row>
    <row r="192" spans="1:4" s="246" customFormat="1" ht="27.6">
      <c r="A192" s="572"/>
      <c r="B192" s="248" t="s">
        <v>575</v>
      </c>
      <c r="C192" s="255" t="s">
        <v>571</v>
      </c>
      <c r="D192" s="89" t="s">
        <v>576</v>
      </c>
    </row>
    <row r="193" spans="1:4" s="35" customFormat="1" ht="13.8">
      <c r="A193" s="91"/>
      <c r="B193" s="92"/>
      <c r="C193" s="93"/>
      <c r="D193" s="84"/>
    </row>
    <row r="194" spans="1:4" s="35" customFormat="1" ht="13.8">
      <c r="A194" s="573" t="s">
        <v>577</v>
      </c>
      <c r="B194" s="573"/>
      <c r="C194" s="573"/>
      <c r="D194" s="573"/>
    </row>
    <row r="195" spans="1:4" s="35" customFormat="1" ht="13.8">
      <c r="A195" s="573" t="s">
        <v>578</v>
      </c>
      <c r="B195" s="573"/>
      <c r="C195" s="573"/>
      <c r="D195" s="573"/>
    </row>
  </sheetData>
  <dataConsolidate/>
  <mergeCells count="63">
    <mergeCell ref="A8:D8"/>
    <mergeCell ref="A2:D2"/>
    <mergeCell ref="A3:B3"/>
    <mergeCell ref="C3:D3"/>
    <mergeCell ref="A4:B4"/>
    <mergeCell ref="C4:D4"/>
    <mergeCell ref="A5:B5"/>
    <mergeCell ref="C5:D5"/>
    <mergeCell ref="A9:A38"/>
    <mergeCell ref="D9:D13"/>
    <mergeCell ref="D14:D38"/>
    <mergeCell ref="A40:D40"/>
    <mergeCell ref="A41:A42"/>
    <mergeCell ref="D41:D42"/>
    <mergeCell ref="A78:A82"/>
    <mergeCell ref="A43:D43"/>
    <mergeCell ref="A45:A47"/>
    <mergeCell ref="A48:A52"/>
    <mergeCell ref="A53:D53"/>
    <mergeCell ref="A56:D56"/>
    <mergeCell ref="A58:A64"/>
    <mergeCell ref="A65:D65"/>
    <mergeCell ref="A67:A71"/>
    <mergeCell ref="A72:D72"/>
    <mergeCell ref="A74:A75"/>
    <mergeCell ref="A76:D76"/>
    <mergeCell ref="A116:A117"/>
    <mergeCell ref="A83:D83"/>
    <mergeCell ref="A87:A92"/>
    <mergeCell ref="A93:D93"/>
    <mergeCell ref="A96:A97"/>
    <mergeCell ref="A100:D100"/>
    <mergeCell ref="A102:A103"/>
    <mergeCell ref="A105:D105"/>
    <mergeCell ref="A108:A109"/>
    <mergeCell ref="A110:D110"/>
    <mergeCell ref="A112:A113"/>
    <mergeCell ref="A114:D114"/>
    <mergeCell ref="A157:D157"/>
    <mergeCell ref="A118:D118"/>
    <mergeCell ref="A121:D121"/>
    <mergeCell ref="A124:A125"/>
    <mergeCell ref="A126:D126"/>
    <mergeCell ref="A128:A137"/>
    <mergeCell ref="A138:D138"/>
    <mergeCell ref="A141:A143"/>
    <mergeCell ref="A145:A146"/>
    <mergeCell ref="A147:A148"/>
    <mergeCell ref="A149:D149"/>
    <mergeCell ref="A153:D153"/>
    <mergeCell ref="A161:D161"/>
    <mergeCell ref="A166:A167"/>
    <mergeCell ref="A169:D169"/>
    <mergeCell ref="A171:A173"/>
    <mergeCell ref="A174:A175"/>
    <mergeCell ref="A190:A192"/>
    <mergeCell ref="A195:D195"/>
    <mergeCell ref="A194:D194"/>
    <mergeCell ref="A176:D176"/>
    <mergeCell ref="A178:A179"/>
    <mergeCell ref="A180:A183"/>
    <mergeCell ref="A185:D185"/>
    <mergeCell ref="A188:D188"/>
  </mergeCells>
  <phoneticPr fontId="11" type="noConversion"/>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C095-B9AE-42C4-8857-A577CA7D750E}">
  <dimension ref="A2:D37"/>
  <sheetViews>
    <sheetView showGridLines="0" zoomScale="80" zoomScaleNormal="80" workbookViewId="0">
      <selection activeCell="C3" sqref="C3:D3"/>
    </sheetView>
  </sheetViews>
  <sheetFormatPr defaultColWidth="8.88671875" defaultRowHeight="14.4"/>
  <cols>
    <col min="1" max="1" width="25.88671875" customWidth="1"/>
    <col min="2" max="2" width="14.88671875" bestFit="1" customWidth="1"/>
    <col min="3" max="3" width="74.33203125" customWidth="1"/>
    <col min="4" max="4" width="115.88671875" customWidth="1"/>
  </cols>
  <sheetData>
    <row r="2" spans="1:4" s="34" customFormat="1" ht="30.75" customHeight="1">
      <c r="A2" s="592" t="s">
        <v>579</v>
      </c>
      <c r="B2" s="593"/>
      <c r="C2" s="593"/>
      <c r="D2" s="593"/>
    </row>
    <row r="3" spans="1:4" s="34" customFormat="1" ht="29.25" customHeight="1">
      <c r="A3" s="594" t="s">
        <v>580</v>
      </c>
      <c r="B3" s="595"/>
      <c r="C3" s="596" t="s">
        <v>581</v>
      </c>
      <c r="D3" s="597"/>
    </row>
    <row r="4" spans="1:4" s="36" customFormat="1" ht="17.399999999999999">
      <c r="A4" s="600" t="s">
        <v>582</v>
      </c>
      <c r="B4" s="601"/>
      <c r="C4" s="598" t="s">
        <v>583</v>
      </c>
      <c r="D4" s="599"/>
    </row>
    <row r="5" spans="1:4" s="34" customFormat="1" ht="26.25" customHeight="1">
      <c r="A5" s="98"/>
      <c r="B5" s="98"/>
      <c r="C5" s="99"/>
      <c r="D5" s="100"/>
    </row>
    <row r="6" spans="1:4" s="3" customFormat="1" ht="18" customHeight="1">
      <c r="A6" s="101" t="s">
        <v>584</v>
      </c>
      <c r="B6" s="101" t="s">
        <v>585</v>
      </c>
      <c r="C6" s="101" t="s">
        <v>586</v>
      </c>
      <c r="D6" s="101" t="s">
        <v>587</v>
      </c>
    </row>
    <row r="7" spans="1:4" ht="27.75" customHeight="1">
      <c r="A7" s="102" t="s">
        <v>588</v>
      </c>
      <c r="B7" s="103" t="s">
        <v>589</v>
      </c>
      <c r="C7" s="103" t="s">
        <v>590</v>
      </c>
      <c r="D7" s="104" t="s">
        <v>240</v>
      </c>
    </row>
    <row r="8" spans="1:4" ht="29.25" customHeight="1">
      <c r="A8" s="102" t="s">
        <v>588</v>
      </c>
      <c r="B8" s="103" t="s">
        <v>591</v>
      </c>
      <c r="C8" s="103" t="s">
        <v>592</v>
      </c>
      <c r="D8" s="103" t="s">
        <v>593</v>
      </c>
    </row>
    <row r="9" spans="1:4" ht="30.75" customHeight="1">
      <c r="A9" s="102" t="s">
        <v>594</v>
      </c>
      <c r="B9" s="103" t="s">
        <v>595</v>
      </c>
      <c r="C9" s="103" t="s">
        <v>596</v>
      </c>
      <c r="D9" s="104" t="s">
        <v>597</v>
      </c>
    </row>
    <row r="10" spans="1:4" ht="41.4">
      <c r="A10" s="102" t="s">
        <v>598</v>
      </c>
      <c r="B10" s="103" t="s">
        <v>599</v>
      </c>
      <c r="C10" s="103" t="s">
        <v>600</v>
      </c>
      <c r="D10" s="104" t="s">
        <v>601</v>
      </c>
    </row>
    <row r="11" spans="1:4" ht="41.4">
      <c r="A11" s="102" t="s">
        <v>602</v>
      </c>
      <c r="B11" s="103" t="s">
        <v>603</v>
      </c>
      <c r="C11" s="103" t="s">
        <v>604</v>
      </c>
      <c r="D11" s="105" t="s">
        <v>316</v>
      </c>
    </row>
    <row r="12" spans="1:4" ht="41.4">
      <c r="A12" s="102" t="s">
        <v>602</v>
      </c>
      <c r="B12" s="103" t="s">
        <v>605</v>
      </c>
      <c r="C12" s="103" t="s">
        <v>606</v>
      </c>
      <c r="D12" s="105" t="s">
        <v>607</v>
      </c>
    </row>
    <row r="13" spans="1:4" ht="41.4">
      <c r="A13" s="102" t="s">
        <v>608</v>
      </c>
      <c r="B13" s="103" t="s">
        <v>609</v>
      </c>
      <c r="C13" s="103" t="s">
        <v>610</v>
      </c>
      <c r="D13" s="105" t="s">
        <v>611</v>
      </c>
    </row>
    <row r="14" spans="1:4" ht="41.4">
      <c r="A14" s="102" t="s">
        <v>608</v>
      </c>
      <c r="B14" s="103" t="s">
        <v>612</v>
      </c>
      <c r="C14" s="103" t="s">
        <v>613</v>
      </c>
      <c r="D14" s="105" t="s">
        <v>614</v>
      </c>
    </row>
    <row r="15" spans="1:4" ht="41.4">
      <c r="A15" s="102" t="s">
        <v>608</v>
      </c>
      <c r="B15" s="103" t="s">
        <v>615</v>
      </c>
      <c r="C15" s="103" t="s">
        <v>616</v>
      </c>
      <c r="D15" s="105" t="s">
        <v>617</v>
      </c>
    </row>
    <row r="16" spans="1:4" ht="41.4">
      <c r="A16" s="102" t="s">
        <v>608</v>
      </c>
      <c r="B16" s="103" t="s">
        <v>618</v>
      </c>
      <c r="C16" s="103" t="s">
        <v>619</v>
      </c>
      <c r="D16" s="105" t="s">
        <v>611</v>
      </c>
    </row>
    <row r="17" spans="1:4" ht="41.4">
      <c r="A17" s="102" t="s">
        <v>608</v>
      </c>
      <c r="B17" s="103" t="s">
        <v>620</v>
      </c>
      <c r="C17" s="103" t="s">
        <v>621</v>
      </c>
      <c r="D17" s="105" t="s">
        <v>622</v>
      </c>
    </row>
    <row r="18" spans="1:4" ht="41.4">
      <c r="A18" s="102" t="s">
        <v>608</v>
      </c>
      <c r="B18" s="103" t="s">
        <v>623</v>
      </c>
      <c r="C18" s="103" t="s">
        <v>624</v>
      </c>
      <c r="D18" s="105" t="s">
        <v>625</v>
      </c>
    </row>
    <row r="19" spans="1:4" ht="27.6">
      <c r="A19" s="102" t="s">
        <v>608</v>
      </c>
      <c r="B19" s="103" t="s">
        <v>626</v>
      </c>
      <c r="C19" s="103" t="s">
        <v>627</v>
      </c>
      <c r="D19" s="105" t="s">
        <v>281</v>
      </c>
    </row>
    <row r="20" spans="1:4" ht="55.2">
      <c r="A20" s="102" t="s">
        <v>628</v>
      </c>
      <c r="B20" s="103" t="s">
        <v>629</v>
      </c>
      <c r="C20" s="103" t="s">
        <v>630</v>
      </c>
      <c r="D20" s="104" t="s">
        <v>631</v>
      </c>
    </row>
    <row r="21" spans="1:4" ht="55.2">
      <c r="A21" s="102" t="s">
        <v>628</v>
      </c>
      <c r="B21" s="103" t="s">
        <v>632</v>
      </c>
      <c r="C21" s="103" t="s">
        <v>633</v>
      </c>
      <c r="D21" s="103" t="s">
        <v>634</v>
      </c>
    </row>
    <row r="22" spans="1:4" ht="41.4">
      <c r="A22" s="102" t="s">
        <v>628</v>
      </c>
      <c r="B22" s="103" t="s">
        <v>635</v>
      </c>
      <c r="C22" s="103" t="s">
        <v>636</v>
      </c>
      <c r="D22" s="104" t="s">
        <v>637</v>
      </c>
    </row>
    <row r="23" spans="1:4" ht="41.4">
      <c r="A23" s="102" t="s">
        <v>638</v>
      </c>
      <c r="B23" s="103" t="s">
        <v>639</v>
      </c>
      <c r="C23" s="103" t="s">
        <v>640</v>
      </c>
      <c r="D23" s="105" t="s">
        <v>641</v>
      </c>
    </row>
    <row r="24" spans="1:4" ht="41.4">
      <c r="A24" s="102" t="s">
        <v>638</v>
      </c>
      <c r="B24" s="103" t="s">
        <v>642</v>
      </c>
      <c r="C24" s="103" t="s">
        <v>643</v>
      </c>
      <c r="D24" s="105" t="s">
        <v>390</v>
      </c>
    </row>
    <row r="25" spans="1:4" ht="46.5" customHeight="1">
      <c r="A25" s="102" t="s">
        <v>638</v>
      </c>
      <c r="B25" s="103" t="s">
        <v>644</v>
      </c>
      <c r="C25" s="103" t="s">
        <v>645</v>
      </c>
      <c r="D25" s="457" t="s">
        <v>646</v>
      </c>
    </row>
    <row r="26" spans="1:4" ht="27.6">
      <c r="A26" s="102" t="s">
        <v>647</v>
      </c>
      <c r="B26" s="103" t="s">
        <v>648</v>
      </c>
      <c r="C26" s="103" t="s">
        <v>649</v>
      </c>
      <c r="D26" s="105" t="s">
        <v>370</v>
      </c>
    </row>
    <row r="27" spans="1:4" ht="41.4">
      <c r="A27" s="102" t="s">
        <v>647</v>
      </c>
      <c r="B27" s="103" t="s">
        <v>650</v>
      </c>
      <c r="C27" s="103" t="s">
        <v>651</v>
      </c>
      <c r="D27" s="105" t="s">
        <v>652</v>
      </c>
    </row>
    <row r="28" spans="1:4" ht="41.4">
      <c r="A28" s="102" t="s">
        <v>653</v>
      </c>
      <c r="B28" s="103" t="s">
        <v>654</v>
      </c>
      <c r="C28" s="103" t="s">
        <v>655</v>
      </c>
      <c r="D28" s="105" t="s">
        <v>214</v>
      </c>
    </row>
    <row r="29" spans="1:4" ht="41.4">
      <c r="A29" s="102" t="s">
        <v>653</v>
      </c>
      <c r="B29" s="103" t="s">
        <v>656</v>
      </c>
      <c r="C29" s="103" t="s">
        <v>657</v>
      </c>
      <c r="D29" s="105" t="s">
        <v>504</v>
      </c>
    </row>
    <row r="30" spans="1:4" ht="41.4">
      <c r="A30" s="102" t="s">
        <v>658</v>
      </c>
      <c r="B30" s="103" t="s">
        <v>659</v>
      </c>
      <c r="C30" s="103" t="s">
        <v>660</v>
      </c>
      <c r="D30" s="105" t="s">
        <v>661</v>
      </c>
    </row>
    <row r="31" spans="1:4" ht="27.6">
      <c r="A31" s="102" t="s">
        <v>662</v>
      </c>
      <c r="B31" s="103" t="s">
        <v>663</v>
      </c>
      <c r="C31" s="103" t="s">
        <v>664</v>
      </c>
      <c r="D31" s="104" t="s">
        <v>545</v>
      </c>
    </row>
    <row r="32" spans="1:4" ht="55.2">
      <c r="A32" s="102" t="s">
        <v>662</v>
      </c>
      <c r="B32" s="103" t="s">
        <v>46</v>
      </c>
      <c r="C32" s="103" t="s">
        <v>665</v>
      </c>
      <c r="D32" s="104" t="s">
        <v>666</v>
      </c>
    </row>
    <row r="33" spans="1:4" ht="54.75" customHeight="1">
      <c r="A33" s="102" t="s">
        <v>667</v>
      </c>
      <c r="B33" s="103" t="s">
        <v>668</v>
      </c>
      <c r="C33" s="103" t="s">
        <v>669</v>
      </c>
      <c r="D33" s="106" t="s">
        <v>670</v>
      </c>
    </row>
    <row r="34" spans="1:4" ht="27.6">
      <c r="A34" s="102" t="s">
        <v>667</v>
      </c>
      <c r="B34" s="103" t="s">
        <v>671</v>
      </c>
      <c r="C34" s="103" t="s">
        <v>672</v>
      </c>
      <c r="D34" s="103" t="s">
        <v>281</v>
      </c>
    </row>
    <row r="35" spans="1:4" ht="27.6">
      <c r="A35" s="102" t="s">
        <v>667</v>
      </c>
      <c r="B35" s="103" t="s">
        <v>673</v>
      </c>
      <c r="C35" s="103" t="s">
        <v>674</v>
      </c>
      <c r="D35" s="105" t="s">
        <v>281</v>
      </c>
    </row>
    <row r="36" spans="1:4" ht="41.4">
      <c r="A36" s="102" t="s">
        <v>675</v>
      </c>
      <c r="B36" s="103" t="s">
        <v>27</v>
      </c>
      <c r="C36" s="103" t="s">
        <v>676</v>
      </c>
      <c r="D36" s="106" t="s">
        <v>677</v>
      </c>
    </row>
    <row r="37" spans="1:4" ht="41.4">
      <c r="A37" s="102" t="s">
        <v>675</v>
      </c>
      <c r="B37" s="103" t="s">
        <v>678</v>
      </c>
      <c r="C37" s="103" t="s">
        <v>679</v>
      </c>
      <c r="D37" s="106" t="s">
        <v>173</v>
      </c>
    </row>
  </sheetData>
  <mergeCells count="5">
    <mergeCell ref="A2:D2"/>
    <mergeCell ref="A3:B3"/>
    <mergeCell ref="C3:D3"/>
    <mergeCell ref="C4:D4"/>
    <mergeCell ref="A4:B4"/>
  </mergeCells>
  <pageMargins left="0.75" right="0.75" top="1" bottom="1" header="0.5" footer="0.5"/>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8DCC-CCB4-4745-BC5A-68B08E1B9E43}">
  <dimension ref="A2:R263"/>
  <sheetViews>
    <sheetView showGridLines="0" topLeftCell="A6" zoomScale="80" zoomScaleNormal="80" workbookViewId="0">
      <selection activeCell="B6" sqref="B6:I6"/>
    </sheetView>
  </sheetViews>
  <sheetFormatPr defaultColWidth="8.88671875" defaultRowHeight="14.4"/>
  <cols>
    <col min="1" max="1" width="3.6640625" customWidth="1"/>
    <col min="2" max="2" width="32.109375" customWidth="1"/>
    <col min="3" max="21" width="25.6640625" customWidth="1"/>
  </cols>
  <sheetData>
    <row r="2" spans="1:18" ht="21">
      <c r="B2" s="33" t="s">
        <v>680</v>
      </c>
      <c r="E2" s="107"/>
    </row>
    <row r="4" spans="1:18">
      <c r="B4" s="19" t="s">
        <v>20</v>
      </c>
    </row>
    <row r="5" spans="1:18" s="18" customFormat="1">
      <c r="B5" s="568" t="s">
        <v>681</v>
      </c>
      <c r="C5" s="568"/>
      <c r="D5" s="568"/>
      <c r="E5" s="568"/>
      <c r="F5" s="568"/>
      <c r="G5" s="568"/>
      <c r="H5" s="568"/>
      <c r="I5" s="568"/>
      <c r="J5" s="568"/>
    </row>
    <row r="6" spans="1:18" ht="213.75" customHeight="1">
      <c r="B6" s="606" t="s">
        <v>682</v>
      </c>
      <c r="C6" s="606"/>
      <c r="D6" s="606"/>
      <c r="E6" s="606"/>
      <c r="F6" s="606"/>
      <c r="G6" s="606"/>
      <c r="H6" s="606"/>
      <c r="I6" s="606"/>
      <c r="J6" s="120"/>
      <c r="K6" s="120"/>
      <c r="L6" s="120"/>
      <c r="M6" s="120"/>
      <c r="N6" s="120"/>
      <c r="O6" s="120"/>
      <c r="P6" s="120"/>
      <c r="Q6" s="120"/>
      <c r="R6" s="120"/>
    </row>
    <row r="8" spans="1:18">
      <c r="B8" s="603" t="s">
        <v>683</v>
      </c>
      <c r="C8" s="603"/>
      <c r="D8" s="603"/>
      <c r="E8" s="603"/>
      <c r="F8" s="603"/>
      <c r="G8" s="603"/>
      <c r="H8" s="603"/>
      <c r="I8" s="603"/>
    </row>
    <row r="9" spans="1:18">
      <c r="B9" s="606" t="s">
        <v>684</v>
      </c>
      <c r="C9" s="606"/>
      <c r="D9" s="606"/>
      <c r="E9" s="606"/>
      <c r="F9" s="606"/>
      <c r="G9" s="606"/>
      <c r="H9" s="606"/>
      <c r="I9" s="606"/>
      <c r="J9" s="46"/>
      <c r="K9" s="46"/>
      <c r="L9" s="46"/>
      <c r="M9" s="46"/>
      <c r="N9" s="46"/>
      <c r="O9" s="46"/>
      <c r="P9" s="46"/>
      <c r="Q9" s="46"/>
      <c r="R9" s="46"/>
    </row>
    <row r="10" spans="1:18" s="39" customFormat="1" ht="13.8">
      <c r="A10" s="37"/>
      <c r="B10" s="72" t="s">
        <v>685</v>
      </c>
      <c r="C10" s="122" t="s">
        <v>686</v>
      </c>
      <c r="D10" s="122" t="s">
        <v>687</v>
      </c>
      <c r="E10" s="122" t="s">
        <v>688</v>
      </c>
      <c r="F10" s="123" t="s">
        <v>689</v>
      </c>
      <c r="G10" s="122" t="s">
        <v>690</v>
      </c>
      <c r="H10" s="122" t="s">
        <v>691</v>
      </c>
      <c r="I10" s="122" t="s">
        <v>692</v>
      </c>
      <c r="J10" s="37"/>
      <c r="K10" s="37"/>
      <c r="L10" s="37"/>
      <c r="M10" s="37"/>
    </row>
    <row r="11" spans="1:18" s="39" customFormat="1" ht="13.8">
      <c r="A11" s="37"/>
      <c r="B11" s="124" t="s">
        <v>693</v>
      </c>
      <c r="C11" s="125" t="s">
        <v>694</v>
      </c>
      <c r="D11" s="125" t="s">
        <v>695</v>
      </c>
      <c r="E11" s="126" t="s">
        <v>696</v>
      </c>
      <c r="F11" s="126" t="s">
        <v>697</v>
      </c>
      <c r="G11" s="126" t="s">
        <v>696</v>
      </c>
      <c r="H11" s="126" t="s">
        <v>697</v>
      </c>
      <c r="I11" s="126" t="s">
        <v>697</v>
      </c>
      <c r="J11" s="37"/>
      <c r="K11" s="37"/>
      <c r="L11" s="37"/>
      <c r="M11" s="37"/>
    </row>
    <row r="12" spans="1:18" s="39" customFormat="1" ht="13.8">
      <c r="A12" s="37"/>
      <c r="B12" s="124" t="s">
        <v>693</v>
      </c>
      <c r="C12" s="125" t="s">
        <v>698</v>
      </c>
      <c r="D12" s="125" t="s">
        <v>699</v>
      </c>
      <c r="E12" s="126" t="s">
        <v>697</v>
      </c>
      <c r="F12" s="126" t="s">
        <v>697</v>
      </c>
      <c r="G12" s="126" t="s">
        <v>697</v>
      </c>
      <c r="H12" s="126" t="s">
        <v>697</v>
      </c>
      <c r="I12" s="126" t="s">
        <v>697</v>
      </c>
      <c r="J12" s="37"/>
      <c r="K12" s="37"/>
      <c r="L12" s="37"/>
      <c r="M12" s="37"/>
    </row>
    <row r="13" spans="1:18" s="39" customFormat="1" ht="13.8">
      <c r="A13" s="37"/>
      <c r="B13" s="124" t="s">
        <v>693</v>
      </c>
      <c r="C13" s="125" t="s">
        <v>700</v>
      </c>
      <c r="D13" s="125" t="s">
        <v>699</v>
      </c>
      <c r="E13" s="126" t="s">
        <v>697</v>
      </c>
      <c r="F13" s="126" t="s">
        <v>697</v>
      </c>
      <c r="G13" s="126" t="s">
        <v>697</v>
      </c>
      <c r="H13" s="126" t="s">
        <v>697</v>
      </c>
      <c r="I13" s="126" t="s">
        <v>697</v>
      </c>
      <c r="J13" s="37"/>
      <c r="K13" s="37"/>
      <c r="L13" s="37"/>
      <c r="M13" s="37"/>
    </row>
    <row r="14" spans="1:18" s="39" customFormat="1" ht="13.8">
      <c r="A14" s="37"/>
      <c r="B14" s="124" t="s">
        <v>701</v>
      </c>
      <c r="C14" s="125" t="s">
        <v>702</v>
      </c>
      <c r="D14" s="125" t="s">
        <v>699</v>
      </c>
      <c r="E14" s="126" t="s">
        <v>697</v>
      </c>
      <c r="F14" s="126" t="s">
        <v>697</v>
      </c>
      <c r="G14" s="126" t="s">
        <v>697</v>
      </c>
      <c r="H14" s="126" t="s">
        <v>697</v>
      </c>
      <c r="I14" s="126" t="s">
        <v>697</v>
      </c>
      <c r="J14" s="37"/>
      <c r="K14" s="37"/>
      <c r="L14" s="37"/>
      <c r="M14" s="37"/>
    </row>
    <row r="15" spans="1:18" s="39" customFormat="1" ht="13.8">
      <c r="A15" s="37"/>
      <c r="B15" s="124" t="s">
        <v>701</v>
      </c>
      <c r="C15" s="125" t="s">
        <v>703</v>
      </c>
      <c r="D15" s="125" t="s">
        <v>704</v>
      </c>
      <c r="E15" s="126" t="s">
        <v>697</v>
      </c>
      <c r="F15" s="126" t="s">
        <v>697</v>
      </c>
      <c r="G15" s="126" t="s">
        <v>697</v>
      </c>
      <c r="H15" s="126" t="s">
        <v>697</v>
      </c>
      <c r="I15" s="126" t="s">
        <v>697</v>
      </c>
      <c r="J15" s="37"/>
      <c r="K15" s="37"/>
      <c r="L15" s="37"/>
      <c r="M15" s="37"/>
    </row>
    <row r="16" spans="1:18" s="39" customFormat="1" ht="13.8">
      <c r="A16" s="37"/>
      <c r="B16" s="124" t="s">
        <v>705</v>
      </c>
      <c r="C16" s="125" t="s">
        <v>706</v>
      </c>
      <c r="D16" s="125" t="s">
        <v>695</v>
      </c>
      <c r="E16" s="126" t="s">
        <v>696</v>
      </c>
      <c r="F16" s="126" t="s">
        <v>697</v>
      </c>
      <c r="G16" s="126" t="s">
        <v>696</v>
      </c>
      <c r="H16" s="126" t="s">
        <v>697</v>
      </c>
      <c r="I16" s="126" t="s">
        <v>697</v>
      </c>
      <c r="J16" s="37"/>
      <c r="K16" s="37"/>
      <c r="L16" s="37"/>
      <c r="M16" s="37"/>
    </row>
    <row r="17" spans="1:18" s="39" customFormat="1" ht="13.8">
      <c r="A17" s="37"/>
      <c r="B17" s="124" t="s">
        <v>705</v>
      </c>
      <c r="C17" s="125" t="s">
        <v>707</v>
      </c>
      <c r="D17" s="125" t="s">
        <v>699</v>
      </c>
      <c r="E17" s="126" t="s">
        <v>697</v>
      </c>
      <c r="F17" s="126" t="s">
        <v>697</v>
      </c>
      <c r="G17" s="126" t="s">
        <v>697</v>
      </c>
      <c r="H17" s="126" t="s">
        <v>697</v>
      </c>
      <c r="I17" s="126" t="s">
        <v>697</v>
      </c>
      <c r="J17" s="37"/>
      <c r="K17" s="37"/>
      <c r="L17" s="37"/>
      <c r="M17" s="37"/>
    </row>
    <row r="18" spans="1:18" s="39" customFormat="1" ht="27.6">
      <c r="A18" s="37"/>
      <c r="B18" s="124" t="s">
        <v>705</v>
      </c>
      <c r="C18" s="125" t="s">
        <v>708</v>
      </c>
      <c r="D18" s="125" t="s">
        <v>699</v>
      </c>
      <c r="E18" s="126" t="s">
        <v>697</v>
      </c>
      <c r="F18" s="126" t="s">
        <v>697</v>
      </c>
      <c r="G18" s="126" t="s">
        <v>697</v>
      </c>
      <c r="H18" s="126" t="s">
        <v>697</v>
      </c>
      <c r="I18" s="126" t="s">
        <v>697</v>
      </c>
      <c r="J18" s="37"/>
      <c r="K18" s="37"/>
      <c r="L18" s="37"/>
      <c r="M18" s="37"/>
    </row>
    <row r="19" spans="1:18" s="39" customFormat="1" ht="13.8">
      <c r="A19" s="37"/>
      <c r="B19" s="124" t="s">
        <v>705</v>
      </c>
      <c r="C19" s="125" t="s">
        <v>709</v>
      </c>
      <c r="D19" s="125" t="s">
        <v>699</v>
      </c>
      <c r="E19" s="126" t="s">
        <v>697</v>
      </c>
      <c r="F19" s="126" t="s">
        <v>697</v>
      </c>
      <c r="G19" s="126" t="s">
        <v>697</v>
      </c>
      <c r="H19" s="126" t="s">
        <v>697</v>
      </c>
      <c r="I19" s="126" t="s">
        <v>697</v>
      </c>
      <c r="J19" s="37"/>
      <c r="K19" s="37"/>
      <c r="L19" s="37"/>
      <c r="M19" s="37"/>
    </row>
    <row r="20" spans="1:18" s="39" customFormat="1" ht="13.8">
      <c r="A20" s="37"/>
      <c r="B20" s="124" t="s">
        <v>710</v>
      </c>
      <c r="C20" s="125" t="s">
        <v>711</v>
      </c>
      <c r="D20" s="125" t="s">
        <v>712</v>
      </c>
      <c r="E20" s="126" t="s">
        <v>697</v>
      </c>
      <c r="F20" s="126" t="s">
        <v>697</v>
      </c>
      <c r="G20" s="126" t="s">
        <v>697</v>
      </c>
      <c r="H20" s="126" t="s">
        <v>697</v>
      </c>
      <c r="I20" s="126" t="s">
        <v>697</v>
      </c>
      <c r="J20" s="37"/>
      <c r="K20" s="37"/>
      <c r="L20" s="37"/>
      <c r="M20" s="37"/>
    </row>
    <row r="21" spans="1:18" s="39" customFormat="1" ht="13.8">
      <c r="A21" s="37"/>
      <c r="B21" s="124" t="s">
        <v>713</v>
      </c>
      <c r="C21" s="125" t="s">
        <v>714</v>
      </c>
      <c r="D21" s="125" t="s">
        <v>695</v>
      </c>
      <c r="E21" s="126" t="s">
        <v>696</v>
      </c>
      <c r="F21" s="126" t="s">
        <v>697</v>
      </c>
      <c r="G21" s="126" t="s">
        <v>696</v>
      </c>
      <c r="H21" s="126" t="s">
        <v>697</v>
      </c>
      <c r="I21" s="126" t="s">
        <v>697</v>
      </c>
      <c r="J21" s="37"/>
      <c r="K21" s="37"/>
      <c r="L21" s="37"/>
      <c r="M21" s="37"/>
    </row>
    <row r="22" spans="1:18" s="39" customFormat="1" ht="13.8">
      <c r="A22" s="37"/>
      <c r="B22" s="124" t="s">
        <v>713</v>
      </c>
      <c r="C22" s="125" t="s">
        <v>715</v>
      </c>
      <c r="D22" s="125" t="s">
        <v>699</v>
      </c>
      <c r="E22" s="126" t="s">
        <v>697</v>
      </c>
      <c r="F22" s="126" t="s">
        <v>697</v>
      </c>
      <c r="G22" s="126" t="s">
        <v>697</v>
      </c>
      <c r="H22" s="126" t="s">
        <v>697</v>
      </c>
      <c r="I22" s="126" t="s">
        <v>697</v>
      </c>
      <c r="J22" s="37"/>
      <c r="K22" s="37"/>
      <c r="L22" s="37"/>
      <c r="M22" s="37"/>
    </row>
    <row r="23" spans="1:18" s="39" customFormat="1" ht="30" customHeight="1">
      <c r="A23" s="37"/>
      <c r="B23" s="124" t="s">
        <v>713</v>
      </c>
      <c r="C23" s="125" t="s">
        <v>716</v>
      </c>
      <c r="D23" s="125" t="s">
        <v>699</v>
      </c>
      <c r="E23" s="126" t="s">
        <v>697</v>
      </c>
      <c r="F23" s="126" t="s">
        <v>697</v>
      </c>
      <c r="G23" s="126" t="s">
        <v>697</v>
      </c>
      <c r="H23" s="126" t="s">
        <v>697</v>
      </c>
      <c r="I23" s="126" t="s">
        <v>697</v>
      </c>
      <c r="J23" s="37"/>
      <c r="K23" s="37"/>
      <c r="L23" s="37"/>
      <c r="M23" s="37"/>
    </row>
    <row r="24" spans="1:18" s="39" customFormat="1" ht="13.8">
      <c r="A24" s="37"/>
      <c r="B24" s="124" t="s">
        <v>717</v>
      </c>
      <c r="C24" s="125" t="s">
        <v>718</v>
      </c>
      <c r="D24" s="125" t="s">
        <v>719</v>
      </c>
      <c r="E24" s="126" t="s">
        <v>720</v>
      </c>
      <c r="F24" s="126" t="s">
        <v>721</v>
      </c>
      <c r="G24" s="126" t="s">
        <v>722</v>
      </c>
      <c r="H24" s="126" t="s">
        <v>721</v>
      </c>
      <c r="I24" s="126" t="s">
        <v>722</v>
      </c>
      <c r="J24" s="37"/>
      <c r="K24" s="37"/>
      <c r="L24" s="37"/>
      <c r="M24" s="37"/>
    </row>
    <row r="25" spans="1:18" s="39" customFormat="1" ht="18" customHeight="1">
      <c r="A25" s="37"/>
      <c r="B25" s="602" t="s">
        <v>723</v>
      </c>
      <c r="C25" s="602"/>
      <c r="D25" s="602"/>
      <c r="E25" s="602"/>
      <c r="F25" s="602"/>
      <c r="G25" s="602"/>
      <c r="H25" s="602"/>
      <c r="I25" s="602"/>
      <c r="J25" s="37"/>
      <c r="K25" s="37"/>
      <c r="L25" s="37"/>
      <c r="M25" s="37"/>
    </row>
    <row r="26" spans="1:18">
      <c r="B26" s="21"/>
      <c r="C26" s="21"/>
      <c r="D26" s="21"/>
      <c r="E26" s="21"/>
      <c r="F26" s="21"/>
      <c r="G26" s="21"/>
      <c r="H26" s="21"/>
      <c r="I26" s="21"/>
      <c r="J26" s="21"/>
      <c r="K26" s="21"/>
      <c r="L26" s="21"/>
      <c r="M26" s="21"/>
      <c r="N26" s="21"/>
      <c r="O26" s="21"/>
      <c r="P26" s="21"/>
      <c r="Q26" s="21"/>
      <c r="R26" s="21"/>
    </row>
    <row r="27" spans="1:18">
      <c r="B27" s="19" t="s">
        <v>22</v>
      </c>
    </row>
    <row r="28" spans="1:18" s="20" customFormat="1">
      <c r="B28" s="127" t="s">
        <v>724</v>
      </c>
    </row>
    <row r="29" spans="1:18" ht="123.75" customHeight="1">
      <c r="B29" s="607" t="s">
        <v>725</v>
      </c>
      <c r="C29" s="607"/>
      <c r="D29" s="607"/>
      <c r="E29" s="607"/>
      <c r="F29" s="607"/>
      <c r="G29" s="607"/>
      <c r="H29" s="607"/>
      <c r="I29" s="607"/>
      <c r="J29" s="121"/>
      <c r="K29" s="121"/>
      <c r="L29" s="121"/>
      <c r="M29" s="121"/>
      <c r="N29" s="121"/>
      <c r="O29" s="121"/>
      <c r="P29" s="121"/>
      <c r="Q29" s="121"/>
      <c r="R29" s="121"/>
    </row>
    <row r="31" spans="1:18">
      <c r="B31" s="603" t="s">
        <v>726</v>
      </c>
      <c r="C31" s="603"/>
      <c r="D31" s="603"/>
      <c r="E31" s="603"/>
    </row>
    <row r="32" spans="1:18">
      <c r="B32" s="128" t="s">
        <v>727</v>
      </c>
      <c r="C32" s="605" t="s">
        <v>728</v>
      </c>
      <c r="D32" s="605"/>
      <c r="E32" s="605"/>
    </row>
    <row r="33" spans="2:7" ht="29.25" customHeight="1">
      <c r="B33" s="260" t="s">
        <v>729</v>
      </c>
      <c r="C33" s="570" t="s">
        <v>730</v>
      </c>
      <c r="D33" s="570"/>
      <c r="E33" s="571"/>
    </row>
    <row r="34" spans="2:7" ht="29.25" customHeight="1">
      <c r="B34" s="260" t="s">
        <v>731</v>
      </c>
      <c r="C34" s="570" t="s">
        <v>732</v>
      </c>
      <c r="D34" s="570"/>
      <c r="E34" s="571"/>
    </row>
    <row r="35" spans="2:7" ht="27" customHeight="1">
      <c r="B35" s="260" t="s">
        <v>733</v>
      </c>
      <c r="C35" s="570" t="s">
        <v>734</v>
      </c>
      <c r="D35" s="570"/>
      <c r="E35" s="571"/>
    </row>
    <row r="36" spans="2:7" ht="16.5" customHeight="1">
      <c r="B36" s="260" t="s">
        <v>735</v>
      </c>
      <c r="C36" s="570" t="s">
        <v>736</v>
      </c>
      <c r="D36" s="570"/>
      <c r="E36" s="571"/>
    </row>
    <row r="38" spans="2:7" ht="58.5" customHeight="1">
      <c r="B38" s="131" t="s">
        <v>737</v>
      </c>
      <c r="C38" s="131" t="s">
        <v>738</v>
      </c>
      <c r="D38" s="131" t="s">
        <v>739</v>
      </c>
      <c r="E38" s="131" t="s">
        <v>740</v>
      </c>
    </row>
    <row r="39" spans="2:7" ht="30" customHeight="1">
      <c r="B39" s="129" t="s">
        <v>741</v>
      </c>
      <c r="C39" s="130" t="s">
        <v>742</v>
      </c>
      <c r="D39" s="130" t="s">
        <v>743</v>
      </c>
      <c r="E39" s="130" t="s">
        <v>693</v>
      </c>
    </row>
    <row r="40" spans="2:7" ht="41.4">
      <c r="B40" s="129" t="s">
        <v>744</v>
      </c>
      <c r="C40" s="130" t="s">
        <v>745</v>
      </c>
      <c r="D40" s="130" t="s">
        <v>746</v>
      </c>
      <c r="E40" s="130" t="s">
        <v>693</v>
      </c>
    </row>
    <row r="41" spans="2:7" ht="41.4">
      <c r="B41" s="129" t="s">
        <v>747</v>
      </c>
      <c r="C41" s="130" t="s">
        <v>748</v>
      </c>
      <c r="D41" s="130" t="s">
        <v>749</v>
      </c>
      <c r="E41" s="130" t="s">
        <v>693</v>
      </c>
      <c r="F41" s="103"/>
      <c r="G41" s="103"/>
    </row>
    <row r="42" spans="2:7" ht="72" customHeight="1">
      <c r="B42" s="129" t="s">
        <v>750</v>
      </c>
      <c r="C42" s="106" t="s">
        <v>751</v>
      </c>
      <c r="D42" s="106" t="s">
        <v>752</v>
      </c>
      <c r="E42" s="130" t="s">
        <v>701</v>
      </c>
    </row>
    <row r="43" spans="2:7" ht="68.25" customHeight="1">
      <c r="B43" s="129" t="s">
        <v>703</v>
      </c>
      <c r="C43" s="106" t="s">
        <v>753</v>
      </c>
      <c r="D43" s="106" t="s">
        <v>754</v>
      </c>
      <c r="E43" s="130" t="s">
        <v>701</v>
      </c>
    </row>
    <row r="44" spans="2:7" ht="46.5" customHeight="1">
      <c r="B44" s="129" t="s">
        <v>755</v>
      </c>
      <c r="C44" s="106" t="s">
        <v>756</v>
      </c>
      <c r="D44" s="106" t="s">
        <v>757</v>
      </c>
      <c r="E44" s="130" t="s">
        <v>710</v>
      </c>
    </row>
    <row r="45" spans="2:7" ht="33" customHeight="1">
      <c r="B45" s="129" t="s">
        <v>758</v>
      </c>
      <c r="C45" s="130" t="s">
        <v>759</v>
      </c>
      <c r="D45" s="130" t="s">
        <v>760</v>
      </c>
      <c r="E45" s="130" t="s">
        <v>713</v>
      </c>
    </row>
    <row r="46" spans="2:7" ht="84" customHeight="1">
      <c r="B46" s="129" t="s">
        <v>761</v>
      </c>
      <c r="C46" s="106" t="s">
        <v>762</v>
      </c>
      <c r="D46" s="130" t="s">
        <v>763</v>
      </c>
      <c r="E46" s="130" t="s">
        <v>713</v>
      </c>
    </row>
    <row r="47" spans="2:7">
      <c r="B47" s="129" t="s">
        <v>714</v>
      </c>
      <c r="C47" s="130" t="s">
        <v>764</v>
      </c>
      <c r="D47" s="130" t="s">
        <v>764</v>
      </c>
      <c r="E47" s="130" t="s">
        <v>713</v>
      </c>
    </row>
    <row r="48" spans="2:7" ht="42" customHeight="1">
      <c r="B48" s="129" t="s">
        <v>765</v>
      </c>
      <c r="C48" s="130" t="s">
        <v>766</v>
      </c>
      <c r="D48" s="130" t="s">
        <v>767</v>
      </c>
      <c r="E48" s="130" t="s">
        <v>705</v>
      </c>
    </row>
    <row r="49" spans="2:18" ht="30.75" customHeight="1">
      <c r="B49" s="129" t="s">
        <v>768</v>
      </c>
      <c r="C49" s="130" t="s">
        <v>769</v>
      </c>
      <c r="D49" s="130" t="s">
        <v>768</v>
      </c>
      <c r="E49" s="130" t="s">
        <v>705</v>
      </c>
    </row>
    <row r="50" spans="2:18" ht="30" customHeight="1">
      <c r="B50" s="129" t="s">
        <v>770</v>
      </c>
      <c r="C50" s="130" t="s">
        <v>771</v>
      </c>
      <c r="D50" s="130" t="s">
        <v>772</v>
      </c>
      <c r="E50" s="130" t="s">
        <v>705</v>
      </c>
    </row>
    <row r="51" spans="2:18" ht="18" customHeight="1">
      <c r="B51" s="129" t="s">
        <v>706</v>
      </c>
      <c r="C51" s="130" t="s">
        <v>773</v>
      </c>
      <c r="D51" s="130" t="s">
        <v>772</v>
      </c>
      <c r="E51" s="130" t="s">
        <v>705</v>
      </c>
    </row>
    <row r="53" spans="2:18">
      <c r="B53" s="19" t="s">
        <v>24</v>
      </c>
    </row>
    <row r="54" spans="2:18" s="18" customFormat="1">
      <c r="B54" s="568" t="s">
        <v>774</v>
      </c>
      <c r="C54" s="568"/>
      <c r="D54" s="568"/>
      <c r="E54" s="568"/>
      <c r="F54" s="568"/>
      <c r="G54" s="568"/>
      <c r="H54" s="568"/>
      <c r="I54" s="568"/>
      <c r="J54" s="568"/>
    </row>
    <row r="55" spans="2:18" ht="47.25" customHeight="1">
      <c r="B55" s="604" t="s">
        <v>775</v>
      </c>
      <c r="C55" s="604"/>
      <c r="D55" s="604"/>
      <c r="E55" s="604"/>
      <c r="F55" s="604"/>
      <c r="G55" s="604"/>
      <c r="H55" s="604"/>
    </row>
    <row r="56" spans="2:18">
      <c r="C56" s="59"/>
    </row>
    <row r="57" spans="2:18" ht="27.6">
      <c r="B57" s="132" t="s">
        <v>584</v>
      </c>
      <c r="C57" s="132" t="s">
        <v>776</v>
      </c>
      <c r="D57" s="132" t="s">
        <v>777</v>
      </c>
      <c r="E57" s="132" t="s">
        <v>778</v>
      </c>
      <c r="F57" s="132" t="s">
        <v>779</v>
      </c>
      <c r="G57" s="132" t="s">
        <v>780</v>
      </c>
      <c r="H57" s="132" t="s">
        <v>781</v>
      </c>
      <c r="I57" s="60"/>
      <c r="J57" s="60"/>
      <c r="K57" s="60"/>
      <c r="L57" s="60"/>
      <c r="M57" s="60"/>
      <c r="N57" s="60"/>
      <c r="O57" s="60"/>
      <c r="P57" s="60"/>
      <c r="Q57" s="60"/>
      <c r="R57" s="60"/>
    </row>
    <row r="58" spans="2:18" ht="82.8">
      <c r="B58" s="259" t="s">
        <v>782</v>
      </c>
      <c r="C58" s="104" t="s">
        <v>783</v>
      </c>
      <c r="D58" s="104" t="s">
        <v>784</v>
      </c>
      <c r="E58" s="133" t="s">
        <v>785</v>
      </c>
      <c r="F58" s="104" t="s">
        <v>786</v>
      </c>
      <c r="G58" s="104" t="s">
        <v>787</v>
      </c>
      <c r="H58" s="104" t="s">
        <v>788</v>
      </c>
      <c r="I58" s="61"/>
      <c r="J58" s="61"/>
      <c r="K58" s="62"/>
      <c r="L58" s="61"/>
      <c r="M58" s="61"/>
      <c r="N58" s="61"/>
      <c r="O58" s="61"/>
      <c r="P58" s="61"/>
      <c r="Q58" s="61"/>
      <c r="R58" s="62"/>
    </row>
    <row r="60" spans="2:18">
      <c r="B60" s="19" t="s">
        <v>26</v>
      </c>
    </row>
    <row r="61" spans="2:18" s="18" customFormat="1">
      <c r="B61" s="568" t="s">
        <v>789</v>
      </c>
      <c r="C61" s="568"/>
      <c r="D61" s="568"/>
      <c r="E61" s="568"/>
      <c r="F61" s="568"/>
      <c r="G61" s="568"/>
      <c r="H61" s="568"/>
      <c r="I61" s="568"/>
      <c r="J61" s="568"/>
    </row>
    <row r="63" spans="2:18" ht="41.4">
      <c r="B63" s="134" t="s">
        <v>790</v>
      </c>
      <c r="C63" s="134" t="s">
        <v>791</v>
      </c>
      <c r="D63" s="122" t="s">
        <v>792</v>
      </c>
      <c r="E63" s="122" t="s">
        <v>793</v>
      </c>
    </row>
    <row r="64" spans="2:18">
      <c r="B64" s="38" t="s">
        <v>794</v>
      </c>
      <c r="C64" s="135">
        <v>223843</v>
      </c>
      <c r="D64" s="135">
        <v>223843</v>
      </c>
      <c r="E64" s="135">
        <f>7777300.87679813/1000</f>
        <v>7777.30087679813</v>
      </c>
    </row>
    <row r="65" spans="2:8">
      <c r="B65" s="38" t="s">
        <v>795</v>
      </c>
      <c r="C65" s="135">
        <v>23816</v>
      </c>
      <c r="D65" s="135">
        <v>23816</v>
      </c>
      <c r="E65" s="136">
        <f>685428.93/1000</f>
        <v>685.42893000000004</v>
      </c>
    </row>
    <row r="66" spans="2:8">
      <c r="B66" s="38" t="s">
        <v>796</v>
      </c>
      <c r="C66" s="135">
        <v>85998</v>
      </c>
      <c r="D66" s="135">
        <v>85998</v>
      </c>
      <c r="E66" s="135">
        <v>6193.351995</v>
      </c>
      <c r="G66" s="108"/>
    </row>
    <row r="67" spans="2:8">
      <c r="B67" s="38" t="s">
        <v>797</v>
      </c>
      <c r="C67" s="135">
        <v>9089</v>
      </c>
      <c r="D67" s="135">
        <v>9089</v>
      </c>
      <c r="E67" s="37">
        <v>0</v>
      </c>
    </row>
    <row r="68" spans="2:8">
      <c r="B68" s="38" t="s">
        <v>798</v>
      </c>
      <c r="C68" s="135">
        <v>26138</v>
      </c>
      <c r="D68" s="135">
        <v>11877</v>
      </c>
      <c r="E68" s="135">
        <v>1339.78</v>
      </c>
      <c r="G68" s="109"/>
    </row>
    <row r="69" spans="2:8">
      <c r="B69" s="38" t="s">
        <v>799</v>
      </c>
      <c r="C69" s="135">
        <v>33013</v>
      </c>
      <c r="D69" s="135">
        <v>33013</v>
      </c>
      <c r="E69" s="136">
        <f>397892.20273571/1000</f>
        <v>397.89220273571004</v>
      </c>
    </row>
    <row r="70" spans="2:8">
      <c r="B70" s="38" t="s">
        <v>800</v>
      </c>
      <c r="C70" s="135">
        <v>71605</v>
      </c>
      <c r="D70" s="135">
        <v>40287</v>
      </c>
      <c r="E70" s="37">
        <v>272</v>
      </c>
    </row>
    <row r="71" spans="2:8">
      <c r="B71" s="38" t="s">
        <v>801</v>
      </c>
      <c r="C71" s="135">
        <v>190420</v>
      </c>
      <c r="D71" s="135">
        <v>92716</v>
      </c>
      <c r="E71" s="137">
        <v>1003</v>
      </c>
    </row>
    <row r="72" spans="2:8">
      <c r="B72" s="38" t="s">
        <v>802</v>
      </c>
      <c r="C72" s="135">
        <v>73533</v>
      </c>
      <c r="D72" s="135">
        <v>73533</v>
      </c>
      <c r="E72" s="138">
        <f>2950122.700881/1000</f>
        <v>2950.1227008810001</v>
      </c>
    </row>
    <row r="73" spans="2:8">
      <c r="B73" s="38" t="s">
        <v>803</v>
      </c>
      <c r="C73" s="135">
        <v>126216</v>
      </c>
      <c r="D73" s="135">
        <v>126216</v>
      </c>
      <c r="E73" s="138">
        <f>4141606.7561/1000</f>
        <v>4141.6067561</v>
      </c>
    </row>
    <row r="74" spans="2:8">
      <c r="B74" s="38" t="s">
        <v>804</v>
      </c>
      <c r="C74" s="135">
        <v>59156</v>
      </c>
      <c r="D74" s="135">
        <v>59156</v>
      </c>
      <c r="E74" s="138">
        <f>2817122.5399999/1000</f>
        <v>2817.1225399998998</v>
      </c>
    </row>
    <row r="75" spans="2:8">
      <c r="B75" s="38" t="s">
        <v>805</v>
      </c>
      <c r="C75" s="135">
        <f>SUBTOTAL(109,Table38[Gold Produced Full Year (oz)(1)])</f>
        <v>922827</v>
      </c>
      <c r="D75" s="135">
        <f>SUBTOTAL(109,Table38[Gold Produced Attributable to EQX for the Period of Ownership (oz)(1) ])</f>
        <v>779544</v>
      </c>
      <c r="E75" s="135">
        <f>SUBTOTAL(109,Table38[Tonnes Processed Attributable to EQX for the Period of Ownership (kt)])</f>
        <v>27577.606001514741</v>
      </c>
      <c r="G75" s="110"/>
    </row>
    <row r="76" spans="2:8" ht="27.75" customHeight="1">
      <c r="B76" s="566" t="s">
        <v>806</v>
      </c>
      <c r="C76" s="566"/>
      <c r="D76" s="566"/>
      <c r="E76" s="566"/>
      <c r="G76" s="110"/>
    </row>
    <row r="78" spans="2:8" s="2" customFormat="1">
      <c r="B78" s="19" t="s">
        <v>28</v>
      </c>
    </row>
    <row r="79" spans="2:8">
      <c r="B79" s="139" t="s">
        <v>807</v>
      </c>
      <c r="C79" s="617" t="s">
        <v>728</v>
      </c>
      <c r="D79" s="617"/>
      <c r="E79" s="617"/>
      <c r="F79" s="617"/>
      <c r="G79" s="617"/>
      <c r="H79" s="618"/>
    </row>
    <row r="80" spans="2:8">
      <c r="B80" s="140" t="s">
        <v>808</v>
      </c>
      <c r="C80" s="619" t="s">
        <v>809</v>
      </c>
      <c r="D80" s="619"/>
      <c r="E80" s="619"/>
      <c r="F80" s="619"/>
      <c r="G80" s="619"/>
      <c r="H80" s="620"/>
    </row>
    <row r="81" spans="2:8">
      <c r="B81" s="140" t="s">
        <v>810</v>
      </c>
      <c r="C81" s="619" t="s">
        <v>811</v>
      </c>
      <c r="D81" s="619"/>
      <c r="E81" s="619"/>
      <c r="F81" s="619"/>
      <c r="G81" s="619"/>
      <c r="H81" s="620"/>
    </row>
    <row r="82" spans="2:8">
      <c r="B82" s="143" t="s">
        <v>812</v>
      </c>
      <c r="C82" s="621" t="s">
        <v>119</v>
      </c>
      <c r="D82" s="621"/>
      <c r="E82" s="621"/>
      <c r="F82" s="621"/>
      <c r="G82" s="621"/>
      <c r="H82" s="622"/>
    </row>
    <row r="83" spans="2:8">
      <c r="B83" s="144" t="s">
        <v>813</v>
      </c>
      <c r="C83" s="619" t="s">
        <v>814</v>
      </c>
      <c r="D83" s="619"/>
      <c r="E83" s="619"/>
      <c r="F83" s="619"/>
      <c r="G83" s="619"/>
      <c r="H83" s="620"/>
    </row>
    <row r="84" spans="2:8">
      <c r="B84" s="145" t="s">
        <v>815</v>
      </c>
      <c r="C84" s="619" t="s">
        <v>816</v>
      </c>
      <c r="D84" s="619"/>
      <c r="E84" s="619"/>
      <c r="F84" s="619"/>
      <c r="G84" s="619"/>
      <c r="H84" s="620"/>
    </row>
    <row r="85" spans="2:8">
      <c r="B85" s="145" t="s">
        <v>817</v>
      </c>
      <c r="C85" s="619" t="s">
        <v>818</v>
      </c>
      <c r="D85" s="619"/>
      <c r="E85" s="619"/>
      <c r="F85" s="619"/>
      <c r="G85" s="619"/>
      <c r="H85" s="620"/>
    </row>
    <row r="86" spans="2:8">
      <c r="B86" s="145" t="s">
        <v>819</v>
      </c>
      <c r="C86" s="619" t="s">
        <v>820</v>
      </c>
      <c r="D86" s="619"/>
      <c r="E86" s="619"/>
      <c r="F86" s="619"/>
      <c r="G86" s="619"/>
      <c r="H86" s="620"/>
    </row>
    <row r="87" spans="2:8">
      <c r="B87" s="145" t="s">
        <v>821</v>
      </c>
      <c r="C87" s="619" t="s">
        <v>822</v>
      </c>
      <c r="D87" s="619"/>
      <c r="E87" s="619"/>
      <c r="F87" s="619"/>
      <c r="G87" s="619"/>
      <c r="H87" s="620"/>
    </row>
    <row r="88" spans="2:8">
      <c r="B88" s="145" t="s">
        <v>823</v>
      </c>
      <c r="C88" s="619" t="s">
        <v>824</v>
      </c>
      <c r="D88" s="619"/>
      <c r="E88" s="619"/>
      <c r="F88" s="619"/>
      <c r="G88" s="619"/>
      <c r="H88" s="620"/>
    </row>
    <row r="89" spans="2:8">
      <c r="B89" s="145" t="s">
        <v>825</v>
      </c>
      <c r="C89" s="619" t="s">
        <v>826</v>
      </c>
      <c r="D89" s="619"/>
      <c r="E89" s="619"/>
      <c r="F89" s="619"/>
      <c r="G89" s="619"/>
      <c r="H89" s="620"/>
    </row>
    <row r="90" spans="2:8">
      <c r="B90" s="145" t="s">
        <v>827</v>
      </c>
      <c r="C90" s="141" t="s">
        <v>828</v>
      </c>
      <c r="D90" s="141"/>
      <c r="E90" s="141"/>
      <c r="F90" s="141"/>
      <c r="G90" s="141"/>
      <c r="H90" s="142"/>
    </row>
    <row r="91" spans="2:8">
      <c r="B91" s="145" t="s">
        <v>829</v>
      </c>
      <c r="C91" s="619" t="s">
        <v>830</v>
      </c>
      <c r="D91" s="619"/>
      <c r="E91" s="619"/>
      <c r="F91" s="619"/>
      <c r="G91" s="619"/>
      <c r="H91" s="620"/>
    </row>
    <row r="92" spans="2:8">
      <c r="B92" s="145" t="s">
        <v>831</v>
      </c>
      <c r="C92" s="619" t="s">
        <v>832</v>
      </c>
      <c r="D92" s="619"/>
      <c r="E92" s="619"/>
      <c r="F92" s="619"/>
      <c r="G92" s="619"/>
      <c r="H92" s="620"/>
    </row>
    <row r="93" spans="2:8">
      <c r="B93" s="145" t="s">
        <v>833</v>
      </c>
      <c r="C93" s="619" t="s">
        <v>834</v>
      </c>
      <c r="D93" s="619"/>
      <c r="E93" s="619"/>
      <c r="F93" s="619"/>
      <c r="G93" s="619"/>
      <c r="H93" s="620"/>
    </row>
    <row r="94" spans="2:8">
      <c r="B94" s="145" t="s">
        <v>835</v>
      </c>
      <c r="C94" s="619" t="s">
        <v>836</v>
      </c>
      <c r="D94" s="619"/>
      <c r="E94" s="619"/>
      <c r="F94" s="619"/>
      <c r="G94" s="619"/>
      <c r="H94" s="620"/>
    </row>
    <row r="95" spans="2:8">
      <c r="B95" s="145" t="s">
        <v>837</v>
      </c>
      <c r="C95" s="619" t="s">
        <v>838</v>
      </c>
      <c r="D95" s="619"/>
      <c r="E95" s="619"/>
      <c r="F95" s="619"/>
      <c r="G95" s="619"/>
      <c r="H95" s="620"/>
    </row>
    <row r="96" spans="2:8">
      <c r="B96" s="145" t="s">
        <v>839</v>
      </c>
      <c r="C96" s="619" t="s">
        <v>840</v>
      </c>
      <c r="D96" s="619"/>
      <c r="E96" s="619"/>
      <c r="F96" s="619"/>
      <c r="G96" s="619"/>
      <c r="H96" s="620"/>
    </row>
    <row r="97" spans="2:8">
      <c r="B97" s="145" t="s">
        <v>841</v>
      </c>
      <c r="C97" s="619" t="s">
        <v>842</v>
      </c>
      <c r="D97" s="619"/>
      <c r="E97" s="619"/>
      <c r="F97" s="619"/>
      <c r="G97" s="619"/>
      <c r="H97" s="620"/>
    </row>
    <row r="98" spans="2:8">
      <c r="B98" s="145" t="s">
        <v>843</v>
      </c>
      <c r="C98" s="619" t="s">
        <v>844</v>
      </c>
      <c r="D98" s="619"/>
      <c r="E98" s="619"/>
      <c r="F98" s="619"/>
      <c r="G98" s="619"/>
      <c r="H98" s="620"/>
    </row>
    <row r="99" spans="2:8">
      <c r="B99" s="145" t="s">
        <v>845</v>
      </c>
      <c r="C99" s="619" t="s">
        <v>846</v>
      </c>
      <c r="D99" s="619"/>
      <c r="E99" s="619"/>
      <c r="F99" s="619"/>
      <c r="G99" s="619"/>
      <c r="H99" s="620"/>
    </row>
    <row r="100" spans="2:8">
      <c r="B100" s="145" t="s">
        <v>847</v>
      </c>
      <c r="C100" s="619" t="s">
        <v>848</v>
      </c>
      <c r="D100" s="619"/>
      <c r="E100" s="619"/>
      <c r="F100" s="619"/>
      <c r="G100" s="619"/>
      <c r="H100" s="620"/>
    </row>
    <row r="101" spans="2:8">
      <c r="B101" s="145" t="s">
        <v>849</v>
      </c>
      <c r="C101" s="619" t="s">
        <v>850</v>
      </c>
      <c r="D101" s="619"/>
      <c r="E101" s="619"/>
      <c r="F101" s="619"/>
      <c r="G101" s="619"/>
      <c r="H101" s="620"/>
    </row>
    <row r="102" spans="2:8">
      <c r="B102" s="145" t="s">
        <v>851</v>
      </c>
      <c r="C102" s="619" t="s">
        <v>852</v>
      </c>
      <c r="D102" s="619"/>
      <c r="E102" s="619"/>
      <c r="F102" s="619"/>
      <c r="G102" s="619"/>
      <c r="H102" s="620"/>
    </row>
    <row r="103" spans="2:8">
      <c r="B103" s="145" t="s">
        <v>853</v>
      </c>
      <c r="C103" s="619" t="s">
        <v>854</v>
      </c>
      <c r="D103" s="619"/>
      <c r="E103" s="619"/>
      <c r="F103" s="619"/>
      <c r="G103" s="619"/>
      <c r="H103" s="620"/>
    </row>
    <row r="104" spans="2:8">
      <c r="B104" s="145" t="s">
        <v>855</v>
      </c>
      <c r="C104" s="619" t="s">
        <v>856</v>
      </c>
      <c r="D104" s="619"/>
      <c r="E104" s="619"/>
      <c r="F104" s="619"/>
      <c r="G104" s="619"/>
      <c r="H104" s="620"/>
    </row>
    <row r="105" spans="2:8">
      <c r="B105" s="145" t="s">
        <v>857</v>
      </c>
      <c r="C105" s="619" t="s">
        <v>858</v>
      </c>
      <c r="D105" s="619"/>
      <c r="E105" s="619"/>
      <c r="F105" s="619"/>
      <c r="G105" s="619"/>
      <c r="H105" s="620"/>
    </row>
    <row r="106" spans="2:8">
      <c r="B106" s="145" t="s">
        <v>859</v>
      </c>
      <c r="C106" s="619" t="s">
        <v>860</v>
      </c>
      <c r="D106" s="619"/>
      <c r="E106" s="619"/>
      <c r="F106" s="619"/>
      <c r="G106" s="619"/>
      <c r="H106" s="620"/>
    </row>
    <row r="107" spans="2:8">
      <c r="B107" s="145" t="s">
        <v>861</v>
      </c>
      <c r="C107" s="619" t="s">
        <v>862</v>
      </c>
      <c r="D107" s="619"/>
      <c r="E107" s="619"/>
      <c r="F107" s="619"/>
      <c r="G107" s="619"/>
      <c r="H107" s="620"/>
    </row>
    <row r="108" spans="2:8">
      <c r="B108" s="145" t="s">
        <v>863</v>
      </c>
      <c r="C108" s="619" t="s">
        <v>864</v>
      </c>
      <c r="D108" s="619"/>
      <c r="E108" s="619"/>
      <c r="F108" s="619"/>
      <c r="G108" s="619"/>
      <c r="H108" s="620"/>
    </row>
    <row r="109" spans="2:8">
      <c r="B109" s="145" t="s">
        <v>865</v>
      </c>
      <c r="C109" s="619" t="s">
        <v>866</v>
      </c>
      <c r="D109" s="619"/>
      <c r="E109" s="619"/>
      <c r="F109" s="619"/>
      <c r="G109" s="619"/>
      <c r="H109" s="620"/>
    </row>
    <row r="110" spans="2:8">
      <c r="B110" s="145" t="s">
        <v>867</v>
      </c>
      <c r="C110" s="619" t="s">
        <v>868</v>
      </c>
      <c r="D110" s="619"/>
      <c r="E110" s="619"/>
      <c r="F110" s="619"/>
      <c r="G110" s="619"/>
      <c r="H110" s="620"/>
    </row>
    <row r="111" spans="2:8">
      <c r="B111" s="145" t="s">
        <v>869</v>
      </c>
      <c r="C111" s="619" t="s">
        <v>870</v>
      </c>
      <c r="D111" s="619"/>
      <c r="E111" s="619"/>
      <c r="F111" s="619"/>
      <c r="G111" s="619"/>
      <c r="H111" s="620"/>
    </row>
    <row r="112" spans="2:8">
      <c r="B112" s="145" t="s">
        <v>871</v>
      </c>
      <c r="C112" s="619" t="s">
        <v>872</v>
      </c>
      <c r="D112" s="619"/>
      <c r="E112" s="619"/>
      <c r="F112" s="619"/>
      <c r="G112" s="619"/>
      <c r="H112" s="620"/>
    </row>
    <row r="113" spans="2:8">
      <c r="B113" s="145" t="s">
        <v>873</v>
      </c>
      <c r="C113" s="619" t="s">
        <v>874</v>
      </c>
      <c r="D113" s="619"/>
      <c r="E113" s="619"/>
      <c r="F113" s="619"/>
      <c r="G113" s="619"/>
      <c r="H113" s="620"/>
    </row>
    <row r="114" spans="2:8">
      <c r="B114" s="145" t="s">
        <v>875</v>
      </c>
      <c r="C114" s="619" t="s">
        <v>876</v>
      </c>
      <c r="D114" s="619"/>
      <c r="E114" s="619"/>
      <c r="F114" s="619"/>
      <c r="G114" s="619"/>
      <c r="H114" s="620"/>
    </row>
    <row r="115" spans="2:8">
      <c r="B115" s="145" t="s">
        <v>877</v>
      </c>
      <c r="C115" s="619" t="s">
        <v>878</v>
      </c>
      <c r="D115" s="619"/>
      <c r="E115" s="619"/>
      <c r="F115" s="619"/>
      <c r="G115" s="619"/>
      <c r="H115" s="620"/>
    </row>
    <row r="116" spans="2:8">
      <c r="B116" s="145" t="s">
        <v>879</v>
      </c>
      <c r="C116" s="619" t="s">
        <v>880</v>
      </c>
      <c r="D116" s="619"/>
      <c r="E116" s="619"/>
      <c r="F116" s="619"/>
      <c r="G116" s="619"/>
      <c r="H116" s="620"/>
    </row>
    <row r="117" spans="2:8">
      <c r="B117" s="145" t="s">
        <v>881</v>
      </c>
      <c r="C117" s="619" t="s">
        <v>882</v>
      </c>
      <c r="D117" s="619"/>
      <c r="E117" s="619"/>
      <c r="F117" s="619"/>
      <c r="G117" s="619"/>
      <c r="H117" s="620"/>
    </row>
    <row r="118" spans="2:8">
      <c r="B118" s="145" t="s">
        <v>883</v>
      </c>
      <c r="C118" s="619" t="s">
        <v>884</v>
      </c>
      <c r="D118" s="619"/>
      <c r="E118" s="619"/>
      <c r="F118" s="619"/>
      <c r="G118" s="619"/>
      <c r="H118" s="620"/>
    </row>
    <row r="119" spans="2:8">
      <c r="B119" s="145" t="s">
        <v>885</v>
      </c>
      <c r="C119" s="619" t="s">
        <v>886</v>
      </c>
      <c r="D119" s="619"/>
      <c r="E119" s="619"/>
      <c r="F119" s="619"/>
      <c r="G119" s="619"/>
      <c r="H119" s="620"/>
    </row>
    <row r="120" spans="2:8">
      <c r="B120" s="145" t="s">
        <v>887</v>
      </c>
      <c r="C120" s="619" t="s">
        <v>888</v>
      </c>
      <c r="D120" s="619"/>
      <c r="E120" s="619"/>
      <c r="F120" s="619"/>
      <c r="G120" s="619"/>
      <c r="H120" s="620"/>
    </row>
    <row r="121" spans="2:8">
      <c r="B121" s="145" t="s">
        <v>89</v>
      </c>
      <c r="C121" s="141" t="s">
        <v>889</v>
      </c>
      <c r="D121" s="141"/>
      <c r="E121" s="141"/>
      <c r="F121" s="141"/>
      <c r="G121" s="141"/>
      <c r="H121" s="142"/>
    </row>
    <row r="122" spans="2:8">
      <c r="B122" s="145" t="s">
        <v>890</v>
      </c>
      <c r="C122" s="619" t="s">
        <v>891</v>
      </c>
      <c r="D122" s="619"/>
      <c r="E122" s="619"/>
      <c r="F122" s="619"/>
      <c r="G122" s="619"/>
      <c r="H122" s="620"/>
    </row>
    <row r="123" spans="2:8">
      <c r="B123" s="145" t="s">
        <v>892</v>
      </c>
      <c r="C123" s="619" t="s">
        <v>893</v>
      </c>
      <c r="D123" s="619"/>
      <c r="E123" s="619"/>
      <c r="F123" s="619"/>
      <c r="G123" s="619"/>
      <c r="H123" s="620"/>
    </row>
    <row r="124" spans="2:8">
      <c r="B124" s="145" t="s">
        <v>770</v>
      </c>
      <c r="C124" s="619" t="s">
        <v>894</v>
      </c>
      <c r="D124" s="619"/>
      <c r="E124" s="619"/>
      <c r="F124" s="619"/>
      <c r="G124" s="619"/>
      <c r="H124" s="620"/>
    </row>
    <row r="125" spans="2:8">
      <c r="B125" s="145" t="s">
        <v>895</v>
      </c>
      <c r="C125" s="619" t="s">
        <v>896</v>
      </c>
      <c r="D125" s="619"/>
      <c r="E125" s="619"/>
      <c r="F125" s="619"/>
      <c r="G125" s="619"/>
      <c r="H125" s="620"/>
    </row>
    <row r="126" spans="2:8">
      <c r="B126" s="145" t="s">
        <v>897</v>
      </c>
      <c r="C126" s="619" t="s">
        <v>898</v>
      </c>
      <c r="D126" s="619"/>
      <c r="E126" s="619"/>
      <c r="F126" s="619"/>
      <c r="G126" s="619"/>
      <c r="H126" s="620"/>
    </row>
    <row r="127" spans="2:8">
      <c r="B127" s="145" t="s">
        <v>899</v>
      </c>
      <c r="C127" s="619" t="s">
        <v>900</v>
      </c>
      <c r="D127" s="619"/>
      <c r="E127" s="619"/>
      <c r="F127" s="619"/>
      <c r="G127" s="619"/>
      <c r="H127" s="620"/>
    </row>
    <row r="128" spans="2:8">
      <c r="B128" s="145" t="s">
        <v>901</v>
      </c>
      <c r="C128" s="619" t="s">
        <v>902</v>
      </c>
      <c r="D128" s="619"/>
      <c r="E128" s="619"/>
      <c r="F128" s="619"/>
      <c r="G128" s="619"/>
      <c r="H128" s="620"/>
    </row>
    <row r="129" spans="2:8">
      <c r="B129" s="145" t="s">
        <v>903</v>
      </c>
      <c r="C129" s="619" t="s">
        <v>904</v>
      </c>
      <c r="D129" s="619"/>
      <c r="E129" s="619"/>
      <c r="F129" s="619"/>
      <c r="G129" s="619"/>
      <c r="H129" s="620"/>
    </row>
    <row r="130" spans="2:8">
      <c r="B130" s="145" t="s">
        <v>905</v>
      </c>
      <c r="C130" s="619" t="s">
        <v>906</v>
      </c>
      <c r="D130" s="619"/>
      <c r="E130" s="619"/>
      <c r="F130" s="619"/>
      <c r="G130" s="619"/>
      <c r="H130" s="620"/>
    </row>
    <row r="131" spans="2:8">
      <c r="B131" s="145" t="s">
        <v>907</v>
      </c>
      <c r="C131" s="619" t="s">
        <v>908</v>
      </c>
      <c r="D131" s="619"/>
      <c r="E131" s="619"/>
      <c r="F131" s="619"/>
      <c r="G131" s="619"/>
      <c r="H131" s="620"/>
    </row>
    <row r="132" spans="2:8">
      <c r="B132" s="145" t="s">
        <v>909</v>
      </c>
      <c r="C132" s="619" t="s">
        <v>910</v>
      </c>
      <c r="D132" s="619"/>
      <c r="E132" s="619"/>
      <c r="F132" s="619"/>
      <c r="G132" s="619"/>
      <c r="H132" s="620"/>
    </row>
    <row r="133" spans="2:8">
      <c r="B133" s="145" t="s">
        <v>911</v>
      </c>
      <c r="C133" s="619" t="s">
        <v>912</v>
      </c>
      <c r="D133" s="619"/>
      <c r="E133" s="619"/>
      <c r="F133" s="619"/>
      <c r="G133" s="619"/>
      <c r="H133" s="620"/>
    </row>
    <row r="134" spans="2:8">
      <c r="B134" s="145" t="s">
        <v>913</v>
      </c>
      <c r="C134" s="619" t="s">
        <v>914</v>
      </c>
      <c r="D134" s="619"/>
      <c r="E134" s="619"/>
      <c r="F134" s="619"/>
      <c r="G134" s="619"/>
      <c r="H134" s="620"/>
    </row>
    <row r="135" spans="2:8">
      <c r="B135" s="145" t="s">
        <v>915</v>
      </c>
      <c r="C135" s="619" t="s">
        <v>916</v>
      </c>
      <c r="D135" s="619"/>
      <c r="E135" s="619"/>
      <c r="F135" s="619"/>
      <c r="G135" s="619"/>
      <c r="H135" s="620"/>
    </row>
    <row r="136" spans="2:8" ht="17.100000000000001" customHeight="1">
      <c r="B136" s="145" t="s">
        <v>917</v>
      </c>
      <c r="C136" s="619" t="s">
        <v>918</v>
      </c>
      <c r="D136" s="619"/>
      <c r="E136" s="619"/>
      <c r="F136" s="619"/>
      <c r="G136" s="619"/>
      <c r="H136" s="620"/>
    </row>
    <row r="137" spans="2:8">
      <c r="B137" s="145" t="s">
        <v>919</v>
      </c>
      <c r="C137" s="619" t="s">
        <v>920</v>
      </c>
      <c r="D137" s="619"/>
      <c r="E137" s="619"/>
      <c r="F137" s="619"/>
      <c r="G137" s="619"/>
      <c r="H137" s="620"/>
    </row>
    <row r="138" spans="2:8">
      <c r="B138" s="145" t="s">
        <v>921</v>
      </c>
      <c r="C138" s="619" t="s">
        <v>922</v>
      </c>
      <c r="D138" s="619"/>
      <c r="E138" s="619"/>
      <c r="F138" s="619"/>
      <c r="G138" s="619"/>
      <c r="H138" s="620"/>
    </row>
    <row r="139" spans="2:8">
      <c r="B139" s="145" t="s">
        <v>923</v>
      </c>
      <c r="C139" s="619" t="s">
        <v>924</v>
      </c>
      <c r="D139" s="619"/>
      <c r="E139" s="619"/>
      <c r="F139" s="619"/>
      <c r="G139" s="619"/>
      <c r="H139" s="620"/>
    </row>
    <row r="140" spans="2:8">
      <c r="B140" s="145" t="s">
        <v>925</v>
      </c>
      <c r="C140" s="619" t="s">
        <v>926</v>
      </c>
      <c r="D140" s="619"/>
      <c r="E140" s="619"/>
      <c r="F140" s="619"/>
      <c r="G140" s="619"/>
      <c r="H140" s="620"/>
    </row>
    <row r="141" spans="2:8">
      <c r="B141" s="145" t="s">
        <v>927</v>
      </c>
      <c r="C141" s="619" t="s">
        <v>701</v>
      </c>
      <c r="D141" s="619"/>
      <c r="E141" s="619"/>
      <c r="F141" s="619"/>
      <c r="G141" s="619"/>
      <c r="H141" s="620"/>
    </row>
    <row r="142" spans="2:8">
      <c r="B142" s="145" t="s">
        <v>928</v>
      </c>
      <c r="C142" s="619" t="s">
        <v>929</v>
      </c>
      <c r="D142" s="619"/>
      <c r="E142" s="619"/>
      <c r="F142" s="619"/>
      <c r="G142" s="619"/>
      <c r="H142" s="620"/>
    </row>
    <row r="143" spans="2:8">
      <c r="B143" s="146" t="s">
        <v>930</v>
      </c>
      <c r="C143" s="619" t="s">
        <v>931</v>
      </c>
      <c r="D143" s="619"/>
      <c r="E143" s="619"/>
      <c r="F143" s="619"/>
      <c r="G143" s="619"/>
      <c r="H143" s="620"/>
    </row>
    <row r="145" spans="2:10">
      <c r="B145" s="72" t="s">
        <v>932</v>
      </c>
      <c r="C145" s="72" t="s">
        <v>728</v>
      </c>
    </row>
    <row r="146" spans="2:10">
      <c r="B146" s="147" t="s">
        <v>933</v>
      </c>
      <c r="C146" s="148" t="s">
        <v>934</v>
      </c>
    </row>
    <row r="147" spans="2:10">
      <c r="B147" s="147" t="s">
        <v>935</v>
      </c>
      <c r="C147" s="148" t="s">
        <v>936</v>
      </c>
    </row>
    <row r="148" spans="2:10">
      <c r="B148" s="147" t="s">
        <v>937</v>
      </c>
      <c r="C148" s="148" t="s">
        <v>938</v>
      </c>
    </row>
    <row r="149" spans="2:10">
      <c r="B149" s="147" t="s">
        <v>939</v>
      </c>
      <c r="C149" s="148" t="s">
        <v>940</v>
      </c>
    </row>
    <row r="150" spans="2:10">
      <c r="B150" s="147" t="s">
        <v>941</v>
      </c>
      <c r="C150" s="148" t="s">
        <v>942</v>
      </c>
    </row>
    <row r="151" spans="2:10" ht="15">
      <c r="B151" s="147" t="s">
        <v>943</v>
      </c>
      <c r="C151" s="148" t="s">
        <v>944</v>
      </c>
    </row>
    <row r="152" spans="2:10">
      <c r="B152" s="38" t="s">
        <v>945</v>
      </c>
      <c r="C152" s="37" t="s">
        <v>946</v>
      </c>
    </row>
    <row r="153" spans="2:10">
      <c r="B153" s="38" t="s">
        <v>947</v>
      </c>
      <c r="C153" s="37" t="s">
        <v>948</v>
      </c>
    </row>
    <row r="154" spans="2:10">
      <c r="B154" s="38" t="s">
        <v>949</v>
      </c>
      <c r="C154" s="37" t="s">
        <v>950</v>
      </c>
    </row>
    <row r="155" spans="2:10">
      <c r="B155" s="38" t="s">
        <v>951</v>
      </c>
      <c r="C155" s="37" t="s">
        <v>952</v>
      </c>
    </row>
    <row r="156" spans="2:10">
      <c r="B156" s="38" t="s">
        <v>953</v>
      </c>
      <c r="C156" s="37" t="s">
        <v>954</v>
      </c>
    </row>
    <row r="158" spans="2:10" s="2" customFormat="1">
      <c r="B158" s="19" t="s">
        <v>30</v>
      </c>
    </row>
    <row r="159" spans="2:10" s="45" customFormat="1">
      <c r="B159" s="149" t="s">
        <v>955</v>
      </c>
      <c r="C159" s="608" t="s">
        <v>728</v>
      </c>
      <c r="D159" s="608"/>
      <c r="E159" s="608"/>
      <c r="F159" s="608"/>
      <c r="G159" s="608"/>
      <c r="H159" s="608"/>
      <c r="I159" s="609"/>
      <c r="J159" s="67"/>
    </row>
    <row r="160" spans="2:10" s="45" customFormat="1">
      <c r="B160" s="307" t="s">
        <v>956</v>
      </c>
      <c r="C160" s="610"/>
      <c r="D160" s="610"/>
      <c r="E160" s="610"/>
      <c r="F160" s="610"/>
      <c r="G160" s="610"/>
      <c r="H160" s="610"/>
      <c r="I160" s="611"/>
      <c r="J160" s="67"/>
    </row>
    <row r="161" spans="2:10" s="45" customFormat="1" ht="27.75" customHeight="1">
      <c r="B161" s="150" t="s">
        <v>957</v>
      </c>
      <c r="C161" s="612" t="s">
        <v>958</v>
      </c>
      <c r="D161" s="612"/>
      <c r="E161" s="612"/>
      <c r="F161" s="612"/>
      <c r="G161" s="612"/>
      <c r="H161" s="612"/>
      <c r="I161" s="613"/>
      <c r="J161" s="67"/>
    </row>
    <row r="162" spans="2:10" s="45" customFormat="1">
      <c r="B162" s="150" t="s">
        <v>959</v>
      </c>
      <c r="C162" s="612" t="s">
        <v>960</v>
      </c>
      <c r="D162" s="612"/>
      <c r="E162" s="612"/>
      <c r="F162" s="612"/>
      <c r="G162" s="612"/>
      <c r="H162" s="612"/>
      <c r="I162" s="613"/>
      <c r="J162" s="67"/>
    </row>
    <row r="163" spans="2:10" s="45" customFormat="1">
      <c r="B163" s="150" t="s">
        <v>735</v>
      </c>
      <c r="C163" s="612" t="s">
        <v>736</v>
      </c>
      <c r="D163" s="612"/>
      <c r="E163" s="612"/>
      <c r="F163" s="612"/>
      <c r="G163" s="612"/>
      <c r="H163" s="612"/>
      <c r="I163" s="613"/>
      <c r="J163" s="67"/>
    </row>
    <row r="164" spans="2:10" s="45" customFormat="1" ht="15" customHeight="1">
      <c r="B164" s="150" t="s">
        <v>961</v>
      </c>
      <c r="C164" s="612" t="s">
        <v>962</v>
      </c>
      <c r="D164" s="612"/>
      <c r="E164" s="612"/>
      <c r="F164" s="612"/>
      <c r="G164" s="612"/>
      <c r="H164" s="612"/>
      <c r="I164" s="613"/>
      <c r="J164" s="67"/>
    </row>
    <row r="165" spans="2:10" s="45" customFormat="1" ht="30.75" customHeight="1">
      <c r="B165" s="150" t="s">
        <v>963</v>
      </c>
      <c r="C165" s="612" t="s">
        <v>964</v>
      </c>
      <c r="D165" s="612"/>
      <c r="E165" s="612"/>
      <c r="F165" s="612"/>
      <c r="G165" s="612"/>
      <c r="H165" s="612"/>
      <c r="I165" s="613"/>
      <c r="J165" s="67"/>
    </row>
    <row r="166" spans="2:10" s="45" customFormat="1">
      <c r="B166" s="150" t="s">
        <v>733</v>
      </c>
      <c r="C166" s="612" t="s">
        <v>734</v>
      </c>
      <c r="D166" s="612"/>
      <c r="E166" s="612"/>
      <c r="F166" s="612"/>
      <c r="G166" s="612"/>
      <c r="H166" s="612"/>
      <c r="I166" s="613"/>
      <c r="J166" s="67"/>
    </row>
    <row r="167" spans="2:10" s="45" customFormat="1">
      <c r="B167" s="150" t="s">
        <v>729</v>
      </c>
      <c r="C167" s="612" t="s">
        <v>730</v>
      </c>
      <c r="D167" s="612"/>
      <c r="E167" s="612"/>
      <c r="F167" s="612"/>
      <c r="G167" s="612"/>
      <c r="H167" s="612"/>
      <c r="I167" s="613"/>
      <c r="J167" s="67"/>
    </row>
    <row r="168" spans="2:10" s="45" customFormat="1">
      <c r="B168" s="150" t="s">
        <v>965</v>
      </c>
      <c r="C168" s="612" t="s">
        <v>966</v>
      </c>
      <c r="D168" s="612"/>
      <c r="E168" s="612"/>
      <c r="F168" s="612"/>
      <c r="G168" s="612"/>
      <c r="H168" s="612"/>
      <c r="I168" s="613"/>
      <c r="J168" s="67"/>
    </row>
    <row r="169" spans="2:10" s="45" customFormat="1">
      <c r="B169" s="150" t="s">
        <v>731</v>
      </c>
      <c r="C169" s="612" t="s">
        <v>732</v>
      </c>
      <c r="D169" s="612"/>
      <c r="E169" s="612"/>
      <c r="F169" s="612"/>
      <c r="G169" s="612"/>
      <c r="H169" s="612"/>
      <c r="I169" s="613"/>
      <c r="J169" s="67"/>
    </row>
    <row r="170" spans="2:10" s="45" customFormat="1">
      <c r="B170" s="614" t="s">
        <v>967</v>
      </c>
      <c r="C170" s="615"/>
      <c r="D170" s="615"/>
      <c r="E170" s="615"/>
      <c r="F170" s="615"/>
      <c r="G170" s="615"/>
      <c r="H170" s="615"/>
      <c r="I170" s="616"/>
      <c r="J170" s="67"/>
    </row>
    <row r="171" spans="2:10" s="45" customFormat="1" ht="41.25" customHeight="1">
      <c r="B171" s="150" t="s">
        <v>968</v>
      </c>
      <c r="C171" s="612" t="s">
        <v>969</v>
      </c>
      <c r="D171" s="612"/>
      <c r="E171" s="612"/>
      <c r="F171" s="612"/>
      <c r="G171" s="612"/>
      <c r="H171" s="612"/>
      <c r="I171" s="613"/>
      <c r="J171" s="67"/>
    </row>
    <row r="172" spans="2:10" s="45" customFormat="1" ht="15" customHeight="1">
      <c r="B172" s="150" t="s">
        <v>970</v>
      </c>
      <c r="C172" s="612" t="s">
        <v>971</v>
      </c>
      <c r="D172" s="612"/>
      <c r="E172" s="612"/>
      <c r="F172" s="612"/>
      <c r="G172" s="612"/>
      <c r="H172" s="612"/>
      <c r="I172" s="613"/>
      <c r="J172" s="67"/>
    </row>
    <row r="173" spans="2:10" s="45" customFormat="1" ht="30" customHeight="1">
      <c r="B173" s="150" t="s">
        <v>972</v>
      </c>
      <c r="C173" s="612" t="s">
        <v>973</v>
      </c>
      <c r="D173" s="612"/>
      <c r="E173" s="612"/>
      <c r="F173" s="612"/>
      <c r="G173" s="612"/>
      <c r="H173" s="612"/>
      <c r="I173" s="613"/>
      <c r="J173" s="67"/>
    </row>
    <row r="174" spans="2:10" s="45" customFormat="1" ht="27.6">
      <c r="B174" s="150" t="s">
        <v>974</v>
      </c>
      <c r="C174" s="612" t="s">
        <v>975</v>
      </c>
      <c r="D174" s="612"/>
      <c r="E174" s="612"/>
      <c r="F174" s="612"/>
      <c r="G174" s="612"/>
      <c r="H174" s="612"/>
      <c r="I174" s="613"/>
      <c r="J174" s="67"/>
    </row>
    <row r="175" spans="2:10" s="45" customFormat="1">
      <c r="B175" s="614" t="s">
        <v>65</v>
      </c>
      <c r="C175" s="615"/>
      <c r="D175" s="615"/>
      <c r="E175" s="615"/>
      <c r="F175" s="615"/>
      <c r="G175" s="615"/>
      <c r="H175" s="615"/>
      <c r="I175" s="616"/>
      <c r="J175" s="67"/>
    </row>
    <row r="176" spans="2:10" s="45" customFormat="1" ht="55.5" customHeight="1">
      <c r="B176" s="150" t="s">
        <v>976</v>
      </c>
      <c r="C176" s="612" t="s">
        <v>977</v>
      </c>
      <c r="D176" s="612"/>
      <c r="E176" s="612"/>
      <c r="F176" s="612"/>
      <c r="G176" s="612"/>
      <c r="H176" s="612"/>
      <c r="I176" s="613"/>
      <c r="J176" s="67"/>
    </row>
    <row r="177" spans="2:10" s="45" customFormat="1" ht="14.25" customHeight="1">
      <c r="B177" s="150" t="s">
        <v>978</v>
      </c>
      <c r="C177" s="612" t="s">
        <v>979</v>
      </c>
      <c r="D177" s="612"/>
      <c r="E177" s="612"/>
      <c r="F177" s="612"/>
      <c r="G177" s="612"/>
      <c r="H177" s="612"/>
      <c r="I177" s="613"/>
      <c r="J177" s="67"/>
    </row>
    <row r="178" spans="2:10" s="45" customFormat="1" ht="45" customHeight="1">
      <c r="B178" s="150" t="s">
        <v>980</v>
      </c>
      <c r="C178" s="612" t="s">
        <v>981</v>
      </c>
      <c r="D178" s="612"/>
      <c r="E178" s="612"/>
      <c r="F178" s="612"/>
      <c r="G178" s="612"/>
      <c r="H178" s="612"/>
      <c r="I178" s="613"/>
      <c r="J178" s="67"/>
    </row>
    <row r="179" spans="2:10" s="45" customFormat="1">
      <c r="B179" s="150" t="s">
        <v>982</v>
      </c>
      <c r="C179" s="612" t="s">
        <v>983</v>
      </c>
      <c r="D179" s="612"/>
      <c r="E179" s="612"/>
      <c r="F179" s="612"/>
      <c r="G179" s="612"/>
      <c r="H179" s="612"/>
      <c r="I179" s="613"/>
      <c r="J179" s="67"/>
    </row>
    <row r="180" spans="2:10" s="45" customFormat="1">
      <c r="B180" s="614" t="s">
        <v>889</v>
      </c>
      <c r="C180" s="615"/>
      <c r="D180" s="615"/>
      <c r="E180" s="615"/>
      <c r="F180" s="615"/>
      <c r="G180" s="615"/>
      <c r="H180" s="615"/>
      <c r="I180" s="616"/>
      <c r="J180" s="67"/>
    </row>
    <row r="181" spans="2:10" s="45" customFormat="1" ht="43.5" customHeight="1">
      <c r="B181" s="150" t="s">
        <v>984</v>
      </c>
      <c r="C181" s="612" t="s">
        <v>985</v>
      </c>
      <c r="D181" s="612"/>
      <c r="E181" s="612"/>
      <c r="F181" s="612"/>
      <c r="G181" s="612"/>
      <c r="H181" s="612"/>
      <c r="I181" s="613"/>
      <c r="J181" s="67"/>
    </row>
    <row r="182" spans="2:10" s="45" customFormat="1">
      <c r="B182" s="150" t="s">
        <v>986</v>
      </c>
      <c r="C182" s="612" t="s">
        <v>987</v>
      </c>
      <c r="D182" s="612"/>
      <c r="E182" s="612"/>
      <c r="F182" s="612"/>
      <c r="G182" s="612"/>
      <c r="H182" s="612"/>
      <c r="I182" s="613"/>
      <c r="J182" s="67"/>
    </row>
    <row r="183" spans="2:10" s="45" customFormat="1" ht="30" customHeight="1">
      <c r="B183" s="150" t="s">
        <v>988</v>
      </c>
      <c r="C183" s="612" t="s">
        <v>989</v>
      </c>
      <c r="D183" s="612"/>
      <c r="E183" s="612"/>
      <c r="F183" s="612"/>
      <c r="G183" s="612"/>
      <c r="H183" s="612"/>
      <c r="I183" s="613"/>
      <c r="J183" s="67"/>
    </row>
    <row r="184" spans="2:10" s="45" customFormat="1">
      <c r="B184" s="150" t="s">
        <v>990</v>
      </c>
      <c r="C184" s="612" t="s">
        <v>991</v>
      </c>
      <c r="D184" s="612"/>
      <c r="E184" s="612"/>
      <c r="F184" s="612"/>
      <c r="G184" s="612"/>
      <c r="H184" s="612"/>
      <c r="I184" s="613"/>
      <c r="J184" s="67"/>
    </row>
    <row r="185" spans="2:10" s="45" customFormat="1" ht="15" customHeight="1">
      <c r="B185" s="150" t="s">
        <v>992</v>
      </c>
      <c r="C185" s="612" t="s">
        <v>993</v>
      </c>
      <c r="D185" s="612"/>
      <c r="E185" s="612"/>
      <c r="F185" s="612"/>
      <c r="G185" s="612"/>
      <c r="H185" s="612"/>
      <c r="I185" s="613"/>
      <c r="J185" s="67"/>
    </row>
    <row r="186" spans="2:10" s="45" customFormat="1" ht="15" customHeight="1">
      <c r="B186" s="150" t="s">
        <v>994</v>
      </c>
      <c r="C186" s="612" t="s">
        <v>995</v>
      </c>
      <c r="D186" s="612"/>
      <c r="E186" s="612"/>
      <c r="F186" s="612"/>
      <c r="G186" s="612"/>
      <c r="H186" s="612"/>
      <c r="I186" s="613"/>
      <c r="J186" s="67"/>
    </row>
    <row r="187" spans="2:10" s="45" customFormat="1" ht="32.25" customHeight="1">
      <c r="B187" s="150" t="s">
        <v>996</v>
      </c>
      <c r="C187" s="612" t="s">
        <v>997</v>
      </c>
      <c r="D187" s="612"/>
      <c r="E187" s="612"/>
      <c r="F187" s="612"/>
      <c r="G187" s="612"/>
      <c r="H187" s="612"/>
      <c r="I187" s="613"/>
      <c r="J187" s="67"/>
    </row>
    <row r="188" spans="2:10" s="45" customFormat="1" ht="15" customHeight="1">
      <c r="B188" s="150" t="s">
        <v>998</v>
      </c>
      <c r="C188" s="612" t="s">
        <v>999</v>
      </c>
      <c r="D188" s="612"/>
      <c r="E188" s="612"/>
      <c r="F188" s="612"/>
      <c r="G188" s="612"/>
      <c r="H188" s="612"/>
      <c r="I188" s="613"/>
      <c r="J188" s="67"/>
    </row>
    <row r="189" spans="2:10" s="45" customFormat="1" ht="15" customHeight="1">
      <c r="B189" s="150" t="s">
        <v>1000</v>
      </c>
      <c r="C189" s="612" t="s">
        <v>1001</v>
      </c>
      <c r="D189" s="612"/>
      <c r="E189" s="612"/>
      <c r="F189" s="612"/>
      <c r="G189" s="612"/>
      <c r="H189" s="612"/>
      <c r="I189" s="613"/>
      <c r="J189" s="67"/>
    </row>
    <row r="190" spans="2:10" s="45" customFormat="1" ht="30" customHeight="1">
      <c r="B190" s="150" t="s">
        <v>92</v>
      </c>
      <c r="C190" s="612" t="s">
        <v>1002</v>
      </c>
      <c r="D190" s="612"/>
      <c r="E190" s="612"/>
      <c r="F190" s="612"/>
      <c r="G190" s="612"/>
      <c r="H190" s="612"/>
      <c r="I190" s="613"/>
      <c r="J190" s="67"/>
    </row>
    <row r="191" spans="2:10" s="45" customFormat="1" ht="15" customHeight="1">
      <c r="B191" s="150" t="s">
        <v>1003</v>
      </c>
      <c r="C191" s="612" t="s">
        <v>1004</v>
      </c>
      <c r="D191" s="612"/>
      <c r="E191" s="612"/>
      <c r="F191" s="612"/>
      <c r="G191" s="612"/>
      <c r="H191" s="612"/>
      <c r="I191" s="613"/>
      <c r="J191" s="67"/>
    </row>
    <row r="192" spans="2:10" s="45" customFormat="1">
      <c r="B192" s="614" t="s">
        <v>1005</v>
      </c>
      <c r="C192" s="615"/>
      <c r="D192" s="615"/>
      <c r="E192" s="615"/>
      <c r="F192" s="615"/>
      <c r="G192" s="615"/>
      <c r="H192" s="615"/>
      <c r="I192" s="616"/>
      <c r="J192" s="67"/>
    </row>
    <row r="193" spans="2:10" s="45" customFormat="1" ht="31.5" customHeight="1">
      <c r="B193" s="150" t="s">
        <v>1006</v>
      </c>
      <c r="C193" s="612" t="s">
        <v>1007</v>
      </c>
      <c r="D193" s="612"/>
      <c r="E193" s="612"/>
      <c r="F193" s="612"/>
      <c r="G193" s="612"/>
      <c r="H193" s="612"/>
      <c r="I193" s="613"/>
      <c r="J193" s="67"/>
    </row>
    <row r="194" spans="2:10" s="45" customFormat="1">
      <c r="B194" s="150" t="s">
        <v>1008</v>
      </c>
      <c r="C194" s="612" t="s">
        <v>1009</v>
      </c>
      <c r="D194" s="612"/>
      <c r="E194" s="612"/>
      <c r="F194" s="612"/>
      <c r="G194" s="612"/>
      <c r="H194" s="612"/>
      <c r="I194" s="613"/>
      <c r="J194" s="67"/>
    </row>
    <row r="195" spans="2:10" s="45" customFormat="1" ht="30.75" customHeight="1">
      <c r="B195" s="150" t="s">
        <v>1010</v>
      </c>
      <c r="C195" s="612" t="s">
        <v>1011</v>
      </c>
      <c r="D195" s="612"/>
      <c r="E195" s="612"/>
      <c r="F195" s="612"/>
      <c r="G195" s="612"/>
      <c r="H195" s="612"/>
      <c r="I195" s="613"/>
      <c r="J195" s="67"/>
    </row>
    <row r="196" spans="2:10" s="45" customFormat="1">
      <c r="B196" s="150" t="s">
        <v>1012</v>
      </c>
      <c r="C196" s="612" t="s">
        <v>1013</v>
      </c>
      <c r="D196" s="612"/>
      <c r="E196" s="612"/>
      <c r="F196" s="612"/>
      <c r="G196" s="612"/>
      <c r="H196" s="612"/>
      <c r="I196" s="613"/>
      <c r="J196" s="67"/>
    </row>
    <row r="197" spans="2:10" s="45" customFormat="1">
      <c r="B197" s="150" t="s">
        <v>1014</v>
      </c>
      <c r="C197" s="612" t="s">
        <v>1015</v>
      </c>
      <c r="D197" s="612"/>
      <c r="E197" s="612"/>
      <c r="F197" s="612"/>
      <c r="G197" s="612"/>
      <c r="H197" s="612"/>
      <c r="I197" s="613"/>
      <c r="J197" s="67"/>
    </row>
    <row r="198" spans="2:10" s="45" customFormat="1">
      <c r="B198" s="150" t="s">
        <v>1016</v>
      </c>
      <c r="C198" s="612" t="s">
        <v>1017</v>
      </c>
      <c r="D198" s="612"/>
      <c r="E198" s="612"/>
      <c r="F198" s="612"/>
      <c r="G198" s="612"/>
      <c r="H198" s="612"/>
      <c r="I198" s="613"/>
      <c r="J198" s="67"/>
    </row>
    <row r="199" spans="2:10" s="45" customFormat="1" ht="42.75" customHeight="1">
      <c r="B199" s="150" t="s">
        <v>114</v>
      </c>
      <c r="C199" s="612" t="s">
        <v>1018</v>
      </c>
      <c r="D199" s="612"/>
      <c r="E199" s="612"/>
      <c r="F199" s="612"/>
      <c r="G199" s="612"/>
      <c r="H199" s="612"/>
      <c r="I199" s="613"/>
      <c r="J199" s="67"/>
    </row>
    <row r="200" spans="2:10" s="45" customFormat="1">
      <c r="B200" s="150" t="s">
        <v>1019</v>
      </c>
      <c r="C200" s="612" t="s">
        <v>1020</v>
      </c>
      <c r="D200" s="612"/>
      <c r="E200" s="612"/>
      <c r="F200" s="612"/>
      <c r="G200" s="612"/>
      <c r="H200" s="612"/>
      <c r="I200" s="613"/>
      <c r="J200" s="67"/>
    </row>
    <row r="201" spans="2:10" s="45" customFormat="1">
      <c r="B201" s="150" t="s">
        <v>1021</v>
      </c>
      <c r="C201" s="612" t="s">
        <v>1022</v>
      </c>
      <c r="D201" s="612"/>
      <c r="E201" s="612"/>
      <c r="F201" s="612"/>
      <c r="G201" s="612"/>
      <c r="H201" s="612"/>
      <c r="I201" s="613"/>
      <c r="J201" s="67"/>
    </row>
    <row r="202" spans="2:10" s="45" customFormat="1">
      <c r="B202" s="150" t="s">
        <v>1023</v>
      </c>
      <c r="C202" s="612" t="s">
        <v>1024</v>
      </c>
      <c r="D202" s="612"/>
      <c r="E202" s="612"/>
      <c r="F202" s="612"/>
      <c r="G202" s="612"/>
      <c r="H202" s="612"/>
      <c r="I202" s="613"/>
      <c r="J202" s="67"/>
    </row>
    <row r="203" spans="2:10" s="45" customFormat="1">
      <c r="B203" s="150" t="s">
        <v>1025</v>
      </c>
      <c r="C203" s="612" t="s">
        <v>1026</v>
      </c>
      <c r="D203" s="612"/>
      <c r="E203" s="612"/>
      <c r="F203" s="612"/>
      <c r="G203" s="612"/>
      <c r="H203" s="612"/>
      <c r="I203" s="613"/>
      <c r="J203" s="67"/>
    </row>
    <row r="204" spans="2:10" s="45" customFormat="1" ht="29.25" customHeight="1">
      <c r="B204" s="150" t="s">
        <v>1027</v>
      </c>
      <c r="C204" s="612" t="s">
        <v>1028</v>
      </c>
      <c r="D204" s="612"/>
      <c r="E204" s="612"/>
      <c r="F204" s="612"/>
      <c r="G204" s="612"/>
      <c r="H204" s="612"/>
      <c r="I204" s="613"/>
      <c r="J204" s="67"/>
    </row>
    <row r="205" spans="2:10" s="45" customFormat="1">
      <c r="B205" s="150" t="s">
        <v>1029</v>
      </c>
      <c r="C205" s="612" t="s">
        <v>1030</v>
      </c>
      <c r="D205" s="612"/>
      <c r="E205" s="612"/>
      <c r="F205" s="612"/>
      <c r="G205" s="612"/>
      <c r="H205" s="612"/>
      <c r="I205" s="613"/>
      <c r="J205" s="67"/>
    </row>
    <row r="206" spans="2:10" s="45" customFormat="1" ht="15" customHeight="1">
      <c r="B206" s="150" t="s">
        <v>1031</v>
      </c>
      <c r="C206" s="612" t="s">
        <v>1032</v>
      </c>
      <c r="D206" s="612"/>
      <c r="E206" s="612"/>
      <c r="F206" s="612"/>
      <c r="G206" s="612"/>
      <c r="H206" s="612"/>
      <c r="I206" s="613"/>
      <c r="J206" s="67"/>
    </row>
    <row r="207" spans="2:10" s="45" customFormat="1" ht="30" customHeight="1">
      <c r="B207" s="150" t="s">
        <v>1033</v>
      </c>
      <c r="C207" s="612" t="s">
        <v>1034</v>
      </c>
      <c r="D207" s="612"/>
      <c r="E207" s="612"/>
      <c r="F207" s="612"/>
      <c r="G207" s="612"/>
      <c r="H207" s="612"/>
      <c r="I207" s="613"/>
      <c r="J207" s="67"/>
    </row>
    <row r="208" spans="2:10" s="45" customFormat="1">
      <c r="B208" s="150" t="s">
        <v>1035</v>
      </c>
      <c r="C208" s="612" t="s">
        <v>1036</v>
      </c>
      <c r="D208" s="612"/>
      <c r="E208" s="612"/>
      <c r="F208" s="612"/>
      <c r="G208" s="612"/>
      <c r="H208" s="612"/>
      <c r="I208" s="613"/>
      <c r="J208" s="67"/>
    </row>
    <row r="209" spans="2:10" s="45" customFormat="1">
      <c r="B209" s="150" t="s">
        <v>112</v>
      </c>
      <c r="C209" s="612" t="s">
        <v>1037</v>
      </c>
      <c r="D209" s="612"/>
      <c r="E209" s="612"/>
      <c r="F209" s="612"/>
      <c r="G209" s="612"/>
      <c r="H209" s="612"/>
      <c r="I209" s="613"/>
      <c r="J209" s="67"/>
    </row>
    <row r="210" spans="2:10" s="45" customFormat="1" ht="29.25" customHeight="1">
      <c r="B210" s="150" t="s">
        <v>1038</v>
      </c>
      <c r="C210" s="612" t="s">
        <v>1039</v>
      </c>
      <c r="D210" s="612"/>
      <c r="E210" s="612"/>
      <c r="F210" s="612"/>
      <c r="G210" s="612"/>
      <c r="H210" s="612"/>
      <c r="I210" s="613"/>
      <c r="J210" s="67"/>
    </row>
    <row r="211" spans="2:10" s="45" customFormat="1" ht="30" customHeight="1">
      <c r="B211" s="150" t="s">
        <v>1040</v>
      </c>
      <c r="C211" s="612" t="s">
        <v>1041</v>
      </c>
      <c r="D211" s="612"/>
      <c r="E211" s="612"/>
      <c r="F211" s="612"/>
      <c r="G211" s="612"/>
      <c r="H211" s="612"/>
      <c r="I211" s="613"/>
      <c r="J211" s="67"/>
    </row>
    <row r="212" spans="2:10" s="45" customFormat="1">
      <c r="B212" s="614" t="s">
        <v>1042</v>
      </c>
      <c r="C212" s="615"/>
      <c r="D212" s="615"/>
      <c r="E212" s="615"/>
      <c r="F212" s="615"/>
      <c r="G212" s="615"/>
      <c r="H212" s="615"/>
      <c r="I212" s="616"/>
      <c r="J212" s="67"/>
    </row>
    <row r="213" spans="2:10" s="45" customFormat="1" ht="27.6">
      <c r="B213" s="150" t="s">
        <v>1043</v>
      </c>
      <c r="C213" s="612" t="s">
        <v>1044</v>
      </c>
      <c r="D213" s="612"/>
      <c r="E213" s="612"/>
      <c r="F213" s="612"/>
      <c r="G213" s="612"/>
      <c r="H213" s="612"/>
      <c r="I213" s="613"/>
      <c r="J213" s="67"/>
    </row>
    <row r="214" spans="2:10" s="45" customFormat="1">
      <c r="B214" s="150" t="s">
        <v>1045</v>
      </c>
      <c r="C214" s="612" t="s">
        <v>1046</v>
      </c>
      <c r="D214" s="612"/>
      <c r="E214" s="612"/>
      <c r="F214" s="612"/>
      <c r="G214" s="612"/>
      <c r="H214" s="612"/>
      <c r="I214" s="613"/>
      <c r="J214" s="67"/>
    </row>
    <row r="215" spans="2:10" s="45" customFormat="1">
      <c r="B215" s="150" t="s">
        <v>1047</v>
      </c>
      <c r="C215" s="612" t="s">
        <v>1048</v>
      </c>
      <c r="D215" s="612"/>
      <c r="E215" s="612"/>
      <c r="F215" s="612"/>
      <c r="G215" s="612"/>
      <c r="H215" s="612"/>
      <c r="I215" s="613"/>
      <c r="J215" s="67"/>
    </row>
    <row r="216" spans="2:10" s="45" customFormat="1">
      <c r="B216" s="150" t="s">
        <v>1049</v>
      </c>
      <c r="C216" s="612" t="s">
        <v>1050</v>
      </c>
      <c r="D216" s="612"/>
      <c r="E216" s="612"/>
      <c r="F216" s="612"/>
      <c r="G216" s="612"/>
      <c r="H216" s="612"/>
      <c r="I216" s="613"/>
      <c r="J216" s="67"/>
    </row>
    <row r="217" spans="2:10" s="45" customFormat="1" ht="15" customHeight="1">
      <c r="B217" s="150" t="s">
        <v>1051</v>
      </c>
      <c r="C217" s="612" t="s">
        <v>1052</v>
      </c>
      <c r="D217" s="612"/>
      <c r="E217" s="612"/>
      <c r="F217" s="612"/>
      <c r="G217" s="612"/>
      <c r="H217" s="612"/>
      <c r="I217" s="613"/>
      <c r="J217" s="67"/>
    </row>
    <row r="218" spans="2:10" s="45" customFormat="1" ht="30" customHeight="1">
      <c r="B218" s="150" t="s">
        <v>1053</v>
      </c>
      <c r="C218" s="612" t="s">
        <v>1054</v>
      </c>
      <c r="D218" s="612"/>
      <c r="E218" s="612"/>
      <c r="F218" s="612"/>
      <c r="G218" s="612"/>
      <c r="H218" s="612"/>
      <c r="I218" s="613"/>
      <c r="J218" s="67"/>
    </row>
    <row r="219" spans="2:10" s="45" customFormat="1" ht="57" customHeight="1">
      <c r="B219" s="150" t="s">
        <v>1055</v>
      </c>
      <c r="C219" s="612" t="s">
        <v>1056</v>
      </c>
      <c r="D219" s="612"/>
      <c r="E219" s="612"/>
      <c r="F219" s="612"/>
      <c r="G219" s="612"/>
      <c r="H219" s="612"/>
      <c r="I219" s="613"/>
      <c r="J219" s="67"/>
    </row>
    <row r="220" spans="2:10" s="45" customFormat="1" ht="27.75" customHeight="1">
      <c r="B220" s="150" t="s">
        <v>1057</v>
      </c>
      <c r="C220" s="612" t="s">
        <v>1058</v>
      </c>
      <c r="D220" s="612"/>
      <c r="E220" s="612"/>
      <c r="F220" s="612"/>
      <c r="G220" s="612"/>
      <c r="H220" s="612"/>
      <c r="I220" s="613"/>
      <c r="J220" s="67"/>
    </row>
    <row r="221" spans="2:10" s="45" customFormat="1" ht="15" customHeight="1">
      <c r="B221" s="614" t="s">
        <v>1059</v>
      </c>
      <c r="C221" s="615"/>
      <c r="D221" s="615"/>
      <c r="E221" s="615"/>
      <c r="F221" s="615"/>
      <c r="G221" s="615"/>
      <c r="H221" s="615"/>
      <c r="I221" s="616"/>
      <c r="J221" s="67"/>
    </row>
    <row r="222" spans="2:10" s="45" customFormat="1">
      <c r="B222" s="150" t="s">
        <v>1060</v>
      </c>
      <c r="C222" s="612" t="s">
        <v>1061</v>
      </c>
      <c r="D222" s="612"/>
      <c r="E222" s="612"/>
      <c r="F222" s="612"/>
      <c r="G222" s="612"/>
      <c r="H222" s="612"/>
      <c r="I222" s="613"/>
      <c r="J222" s="67"/>
    </row>
    <row r="223" spans="2:10" s="45" customFormat="1">
      <c r="B223" s="150" t="s">
        <v>1062</v>
      </c>
      <c r="C223" s="612" t="s">
        <v>1063</v>
      </c>
      <c r="D223" s="612"/>
      <c r="E223" s="612"/>
      <c r="F223" s="612"/>
      <c r="G223" s="612"/>
      <c r="H223" s="612"/>
      <c r="I223" s="613"/>
      <c r="J223" s="67"/>
    </row>
    <row r="224" spans="2:10" s="45" customFormat="1" ht="30" customHeight="1">
      <c r="B224" s="150" t="s">
        <v>1064</v>
      </c>
      <c r="C224" s="612" t="s">
        <v>1065</v>
      </c>
      <c r="D224" s="612"/>
      <c r="E224" s="612"/>
      <c r="F224" s="612"/>
      <c r="G224" s="612"/>
      <c r="H224" s="612"/>
      <c r="I224" s="613"/>
      <c r="J224" s="67"/>
    </row>
    <row r="225" spans="2:10" s="45" customFormat="1">
      <c r="B225" s="150" t="s">
        <v>1066</v>
      </c>
      <c r="C225" s="612" t="s">
        <v>1067</v>
      </c>
      <c r="D225" s="612"/>
      <c r="E225" s="612"/>
      <c r="F225" s="612"/>
      <c r="G225" s="612"/>
      <c r="H225" s="612"/>
      <c r="I225" s="613"/>
      <c r="J225" s="67"/>
    </row>
    <row r="226" spans="2:10" s="45" customFormat="1">
      <c r="B226" s="150" t="s">
        <v>1068</v>
      </c>
      <c r="C226" s="612" t="s">
        <v>1069</v>
      </c>
      <c r="D226" s="612"/>
      <c r="E226" s="612"/>
      <c r="F226" s="612"/>
      <c r="G226" s="612"/>
      <c r="H226" s="612"/>
      <c r="I226" s="613"/>
      <c r="J226" s="67"/>
    </row>
    <row r="227" spans="2:10" s="45" customFormat="1" ht="30.75" customHeight="1">
      <c r="B227" s="150" t="s">
        <v>1070</v>
      </c>
      <c r="C227" s="612" t="s">
        <v>1071</v>
      </c>
      <c r="D227" s="612"/>
      <c r="E227" s="612"/>
      <c r="F227" s="612"/>
      <c r="G227" s="612"/>
      <c r="H227" s="612"/>
      <c r="I227" s="613"/>
      <c r="J227" s="67"/>
    </row>
    <row r="228" spans="2:10" s="45" customFormat="1" ht="30.75" customHeight="1">
      <c r="B228" s="150" t="s">
        <v>1072</v>
      </c>
      <c r="C228" s="612" t="s">
        <v>1073</v>
      </c>
      <c r="D228" s="612"/>
      <c r="E228" s="612"/>
      <c r="F228" s="612"/>
      <c r="G228" s="612"/>
      <c r="H228" s="612"/>
      <c r="I228" s="613"/>
      <c r="J228" s="67"/>
    </row>
    <row r="229" spans="2:10">
      <c r="B229" s="614" t="s">
        <v>1074</v>
      </c>
      <c r="C229" s="615"/>
      <c r="D229" s="615"/>
      <c r="E229" s="615"/>
      <c r="F229" s="615"/>
      <c r="G229" s="615"/>
      <c r="H229" s="615"/>
      <c r="I229" s="616"/>
    </row>
    <row r="230" spans="2:10">
      <c r="B230" s="150" t="s">
        <v>1075</v>
      </c>
      <c r="C230" s="612" t="s">
        <v>1076</v>
      </c>
      <c r="D230" s="612"/>
      <c r="E230" s="612"/>
      <c r="F230" s="612"/>
      <c r="G230" s="612"/>
      <c r="H230" s="612"/>
      <c r="I230" s="613"/>
    </row>
    <row r="231" spans="2:10">
      <c r="B231" s="150" t="s">
        <v>1077</v>
      </c>
      <c r="C231" s="612" t="s">
        <v>1078</v>
      </c>
      <c r="D231" s="612"/>
      <c r="E231" s="612"/>
      <c r="F231" s="612"/>
      <c r="G231" s="612"/>
      <c r="H231" s="612"/>
      <c r="I231" s="613"/>
    </row>
    <row r="232" spans="2:10" ht="60" customHeight="1">
      <c r="B232" s="150" t="s">
        <v>1079</v>
      </c>
      <c r="C232" s="612" t="s">
        <v>1080</v>
      </c>
      <c r="D232" s="612"/>
      <c r="E232" s="612"/>
      <c r="F232" s="612"/>
      <c r="G232" s="612"/>
      <c r="H232" s="612"/>
      <c r="I232" s="613"/>
    </row>
    <row r="233" spans="2:10">
      <c r="B233" s="150" t="s">
        <v>1081</v>
      </c>
      <c r="C233" s="612" t="s">
        <v>1082</v>
      </c>
      <c r="D233" s="612"/>
      <c r="E233" s="612"/>
      <c r="F233" s="612"/>
      <c r="G233" s="612"/>
      <c r="H233" s="612"/>
      <c r="I233" s="613"/>
    </row>
    <row r="234" spans="2:10">
      <c r="B234" s="150" t="s">
        <v>1083</v>
      </c>
      <c r="C234" s="612" t="s">
        <v>1084</v>
      </c>
      <c r="D234" s="612"/>
      <c r="E234" s="612"/>
      <c r="F234" s="612"/>
      <c r="G234" s="612"/>
      <c r="H234" s="612"/>
      <c r="I234" s="613"/>
    </row>
    <row r="235" spans="2:10">
      <c r="B235" s="150" t="s">
        <v>1085</v>
      </c>
      <c r="C235" s="612" t="s">
        <v>1086</v>
      </c>
      <c r="D235" s="612"/>
      <c r="E235" s="612"/>
      <c r="F235" s="612"/>
      <c r="G235" s="612"/>
      <c r="H235" s="612"/>
      <c r="I235" s="613"/>
    </row>
    <row r="236" spans="2:10" ht="29.25" customHeight="1">
      <c r="B236" s="150" t="s">
        <v>1087</v>
      </c>
      <c r="C236" s="612" t="s">
        <v>1088</v>
      </c>
      <c r="D236" s="612"/>
      <c r="E236" s="612"/>
      <c r="F236" s="612"/>
      <c r="G236" s="612"/>
      <c r="H236" s="612"/>
      <c r="I236" s="613"/>
    </row>
    <row r="237" spans="2:10">
      <c r="B237" s="150" t="s">
        <v>1089</v>
      </c>
      <c r="C237" s="612" t="s">
        <v>1090</v>
      </c>
      <c r="D237" s="612"/>
      <c r="E237" s="612"/>
      <c r="F237" s="612"/>
      <c r="G237" s="612"/>
      <c r="H237" s="612"/>
      <c r="I237" s="613"/>
    </row>
    <row r="238" spans="2:10" ht="42" customHeight="1">
      <c r="B238" s="150" t="s">
        <v>1091</v>
      </c>
      <c r="C238" s="612" t="s">
        <v>1092</v>
      </c>
      <c r="D238" s="612"/>
      <c r="E238" s="612"/>
      <c r="F238" s="612"/>
      <c r="G238" s="612"/>
      <c r="H238" s="612"/>
      <c r="I238" s="613"/>
    </row>
    <row r="239" spans="2:10" ht="27.6">
      <c r="B239" s="150" t="s">
        <v>1093</v>
      </c>
      <c r="C239" s="612" t="s">
        <v>1094</v>
      </c>
      <c r="D239" s="612"/>
      <c r="E239" s="612"/>
      <c r="F239" s="612"/>
      <c r="G239" s="612"/>
      <c r="H239" s="612"/>
      <c r="I239" s="613"/>
    </row>
    <row r="240" spans="2:10">
      <c r="B240" s="150" t="s">
        <v>1095</v>
      </c>
      <c r="C240" s="612" t="s">
        <v>1096</v>
      </c>
      <c r="D240" s="612"/>
      <c r="E240" s="612"/>
      <c r="F240" s="612"/>
      <c r="G240" s="612"/>
      <c r="H240" s="612"/>
      <c r="I240" s="613"/>
    </row>
    <row r="241" spans="2:9">
      <c r="B241" s="614" t="s">
        <v>782</v>
      </c>
      <c r="C241" s="615"/>
      <c r="D241" s="615"/>
      <c r="E241" s="615"/>
      <c r="F241" s="615"/>
      <c r="G241" s="615"/>
      <c r="H241" s="615"/>
      <c r="I241" s="616"/>
    </row>
    <row r="242" spans="2:9" ht="15.75" customHeight="1">
      <c r="B242" s="150" t="s">
        <v>1097</v>
      </c>
      <c r="C242" s="612" t="s">
        <v>1098</v>
      </c>
      <c r="D242" s="612"/>
      <c r="E242" s="612"/>
      <c r="F242" s="612"/>
      <c r="G242" s="612"/>
      <c r="H242" s="612"/>
      <c r="I242" s="613"/>
    </row>
    <row r="243" spans="2:9">
      <c r="B243" s="150" t="s">
        <v>1099</v>
      </c>
      <c r="C243" s="612" t="s">
        <v>1100</v>
      </c>
      <c r="D243" s="612"/>
      <c r="E243" s="612"/>
      <c r="F243" s="612"/>
      <c r="G243" s="612"/>
      <c r="H243" s="612"/>
      <c r="I243" s="613"/>
    </row>
    <row r="244" spans="2:9">
      <c r="B244" s="150" t="s">
        <v>1101</v>
      </c>
      <c r="C244" s="612" t="s">
        <v>1102</v>
      </c>
      <c r="D244" s="612"/>
      <c r="E244" s="612"/>
      <c r="F244" s="612"/>
      <c r="G244" s="612"/>
      <c r="H244" s="612"/>
      <c r="I244" s="613"/>
    </row>
    <row r="245" spans="2:9" ht="42.75" customHeight="1">
      <c r="B245" s="150" t="s">
        <v>1103</v>
      </c>
      <c r="C245" s="612" t="s">
        <v>1104</v>
      </c>
      <c r="D245" s="612"/>
      <c r="E245" s="612"/>
      <c r="F245" s="612"/>
      <c r="G245" s="612"/>
      <c r="H245" s="612"/>
      <c r="I245" s="613"/>
    </row>
    <row r="246" spans="2:9">
      <c r="B246" s="150" t="s">
        <v>1105</v>
      </c>
      <c r="C246" s="612" t="s">
        <v>1106</v>
      </c>
      <c r="D246" s="612"/>
      <c r="E246" s="612"/>
      <c r="F246" s="612"/>
      <c r="G246" s="612"/>
      <c r="H246" s="612"/>
      <c r="I246" s="613"/>
    </row>
    <row r="247" spans="2:9">
      <c r="B247" s="150" t="s">
        <v>1107</v>
      </c>
      <c r="C247" s="612" t="s">
        <v>1108</v>
      </c>
      <c r="D247" s="612"/>
      <c r="E247" s="612"/>
      <c r="F247" s="612"/>
      <c r="G247" s="612"/>
      <c r="H247" s="612"/>
      <c r="I247" s="613"/>
    </row>
    <row r="248" spans="2:9">
      <c r="B248" s="150" t="s">
        <v>1109</v>
      </c>
      <c r="C248" s="612" t="s">
        <v>1110</v>
      </c>
      <c r="D248" s="612"/>
      <c r="E248" s="612"/>
      <c r="F248" s="612"/>
      <c r="G248" s="612"/>
      <c r="H248" s="612"/>
      <c r="I248" s="613"/>
    </row>
    <row r="249" spans="2:9" ht="44.25" customHeight="1">
      <c r="B249" s="150" t="s">
        <v>1111</v>
      </c>
      <c r="C249" s="612" t="s">
        <v>1112</v>
      </c>
      <c r="D249" s="612"/>
      <c r="E249" s="612"/>
      <c r="F249" s="612"/>
      <c r="G249" s="612"/>
      <c r="H249" s="612"/>
      <c r="I249" s="613"/>
    </row>
    <row r="250" spans="2:9">
      <c r="B250" s="150" t="s">
        <v>135</v>
      </c>
      <c r="C250" s="612" t="s">
        <v>1113</v>
      </c>
      <c r="D250" s="612"/>
      <c r="E250" s="612"/>
      <c r="F250" s="612"/>
      <c r="G250" s="612"/>
      <c r="H250" s="612"/>
      <c r="I250" s="613"/>
    </row>
    <row r="251" spans="2:9">
      <c r="B251" s="150" t="s">
        <v>1114</v>
      </c>
      <c r="C251" s="612" t="s">
        <v>1115</v>
      </c>
      <c r="D251" s="612"/>
      <c r="E251" s="612"/>
      <c r="F251" s="612"/>
      <c r="G251" s="612"/>
      <c r="H251" s="612"/>
      <c r="I251" s="613"/>
    </row>
    <row r="252" spans="2:9">
      <c r="B252" s="150" t="s">
        <v>1116</v>
      </c>
      <c r="C252" s="612" t="s">
        <v>1117</v>
      </c>
      <c r="D252" s="612"/>
      <c r="E252" s="612"/>
      <c r="F252" s="612"/>
      <c r="G252" s="612"/>
      <c r="H252" s="612"/>
      <c r="I252" s="613"/>
    </row>
    <row r="253" spans="2:9">
      <c r="B253" s="150" t="s">
        <v>133</v>
      </c>
      <c r="C253" s="612" t="s">
        <v>1118</v>
      </c>
      <c r="D253" s="612"/>
      <c r="E253" s="612"/>
      <c r="F253" s="612"/>
      <c r="G253" s="612"/>
      <c r="H253" s="612"/>
      <c r="I253" s="613"/>
    </row>
    <row r="254" spans="2:9">
      <c r="B254" s="614" t="s">
        <v>1119</v>
      </c>
      <c r="C254" s="615"/>
      <c r="D254" s="615"/>
      <c r="E254" s="615"/>
      <c r="F254" s="615"/>
      <c r="G254" s="615"/>
      <c r="H254" s="615"/>
      <c r="I254" s="616"/>
    </row>
    <row r="255" spans="2:9" s="6" customFormat="1">
      <c r="B255" s="150" t="s">
        <v>1120</v>
      </c>
      <c r="C255" s="612" t="s">
        <v>1121</v>
      </c>
      <c r="D255" s="612"/>
      <c r="E255" s="612"/>
      <c r="F255" s="612"/>
      <c r="G255" s="612"/>
      <c r="H255" s="612"/>
      <c r="I255" s="613"/>
    </row>
    <row r="256" spans="2:9" ht="29.25" customHeight="1">
      <c r="B256" s="150" t="s">
        <v>1122</v>
      </c>
      <c r="C256" s="612" t="s">
        <v>1123</v>
      </c>
      <c r="D256" s="612"/>
      <c r="E256" s="612"/>
      <c r="F256" s="612"/>
      <c r="G256" s="612"/>
      <c r="H256" s="612"/>
      <c r="I256" s="613"/>
    </row>
    <row r="257" spans="2:9">
      <c r="B257" s="150" t="s">
        <v>1124</v>
      </c>
      <c r="C257" s="612" t="s">
        <v>1125</v>
      </c>
      <c r="D257" s="612"/>
      <c r="E257" s="612"/>
      <c r="F257" s="612"/>
      <c r="G257" s="612"/>
      <c r="H257" s="612"/>
      <c r="I257" s="613"/>
    </row>
    <row r="258" spans="2:9" ht="44.25" customHeight="1">
      <c r="B258" s="150" t="s">
        <v>1126</v>
      </c>
      <c r="C258" s="612" t="s">
        <v>1127</v>
      </c>
      <c r="D258" s="612"/>
      <c r="E258" s="612"/>
      <c r="F258" s="612"/>
      <c r="G258" s="612"/>
      <c r="H258" s="612"/>
      <c r="I258" s="613"/>
    </row>
    <row r="259" spans="2:9">
      <c r="B259" s="614" t="s">
        <v>1128</v>
      </c>
      <c r="C259" s="615"/>
      <c r="D259" s="615"/>
      <c r="E259" s="615"/>
      <c r="F259" s="615"/>
      <c r="G259" s="615"/>
      <c r="H259" s="615"/>
      <c r="I259" s="616"/>
    </row>
    <row r="260" spans="2:9">
      <c r="B260" s="150" t="s">
        <v>1129</v>
      </c>
      <c r="C260" s="612" t="s">
        <v>1130</v>
      </c>
      <c r="D260" s="612"/>
      <c r="E260" s="612"/>
      <c r="F260" s="612"/>
      <c r="G260" s="612"/>
      <c r="H260" s="612"/>
      <c r="I260" s="613"/>
    </row>
    <row r="261" spans="2:9">
      <c r="B261" s="150" t="s">
        <v>1131</v>
      </c>
      <c r="C261" s="612" t="s">
        <v>1132</v>
      </c>
      <c r="D261" s="612"/>
      <c r="E261" s="612"/>
      <c r="F261" s="612"/>
      <c r="G261" s="612"/>
      <c r="H261" s="612"/>
      <c r="I261" s="613"/>
    </row>
    <row r="262" spans="2:9">
      <c r="B262" s="150" t="s">
        <v>1133</v>
      </c>
      <c r="C262" s="612" t="s">
        <v>1134</v>
      </c>
      <c r="D262" s="612"/>
      <c r="E262" s="612"/>
      <c r="F262" s="612"/>
      <c r="G262" s="612"/>
      <c r="H262" s="612"/>
      <c r="I262" s="613"/>
    </row>
    <row r="263" spans="2:9">
      <c r="B263" s="150" t="s">
        <v>1135</v>
      </c>
      <c r="C263" s="612" t="s">
        <v>1136</v>
      </c>
      <c r="D263" s="612"/>
      <c r="E263" s="612"/>
      <c r="F263" s="612"/>
      <c r="G263" s="612"/>
      <c r="H263" s="612"/>
      <c r="I263" s="613"/>
    </row>
  </sheetData>
  <mergeCells count="184">
    <mergeCell ref="C211:I211"/>
    <mergeCell ref="C139:H139"/>
    <mergeCell ref="C140:H140"/>
    <mergeCell ref="C141:H141"/>
    <mergeCell ref="C142:H142"/>
    <mergeCell ref="C122:H122"/>
    <mergeCell ref="C123:H123"/>
    <mergeCell ref="C124:H124"/>
    <mergeCell ref="C125:H125"/>
    <mergeCell ref="C126:H126"/>
    <mergeCell ref="C127:H127"/>
    <mergeCell ref="C128:H128"/>
    <mergeCell ref="C129:H129"/>
    <mergeCell ref="C210:I210"/>
    <mergeCell ref="C185:I185"/>
    <mergeCell ref="C177:I177"/>
    <mergeCell ref="C196:I196"/>
    <mergeCell ref="C186:I186"/>
    <mergeCell ref="C191:I191"/>
    <mergeCell ref="C182:I182"/>
    <mergeCell ref="C183:I183"/>
    <mergeCell ref="C184:I184"/>
    <mergeCell ref="B180:I180"/>
    <mergeCell ref="C181:I181"/>
    <mergeCell ref="C118:H118"/>
    <mergeCell ref="C143:H143"/>
    <mergeCell ref="C172:I172"/>
    <mergeCell ref="C237:I237"/>
    <mergeCell ref="C130:H130"/>
    <mergeCell ref="C131:H131"/>
    <mergeCell ref="C133:H133"/>
    <mergeCell ref="C132:H132"/>
    <mergeCell ref="C134:H134"/>
    <mergeCell ref="C135:H135"/>
    <mergeCell ref="C136:H136"/>
    <mergeCell ref="C137:H137"/>
    <mergeCell ref="C138:H138"/>
    <mergeCell ref="C225:I225"/>
    <mergeCell ref="C226:I226"/>
    <mergeCell ref="C227:I227"/>
    <mergeCell ref="C228:I228"/>
    <mergeCell ref="C231:I231"/>
    <mergeCell ref="C233:I233"/>
    <mergeCell ref="C219:I219"/>
    <mergeCell ref="C207:I207"/>
    <mergeCell ref="C209:I209"/>
    <mergeCell ref="C214:I214"/>
    <mergeCell ref="C223:I223"/>
    <mergeCell ref="C120:H120"/>
    <mergeCell ref="C96:H96"/>
    <mergeCell ref="C97:H97"/>
    <mergeCell ref="C98:H98"/>
    <mergeCell ref="C99:H99"/>
    <mergeCell ref="C100:H100"/>
    <mergeCell ref="C101:H101"/>
    <mergeCell ref="C102:H102"/>
    <mergeCell ref="C103:H103"/>
    <mergeCell ref="C104:H104"/>
    <mergeCell ref="C119:H119"/>
    <mergeCell ref="C105:H105"/>
    <mergeCell ref="C106:H106"/>
    <mergeCell ref="C107:H107"/>
    <mergeCell ref="C108:H108"/>
    <mergeCell ref="C109:H109"/>
    <mergeCell ref="C110:H110"/>
    <mergeCell ref="C111:H111"/>
    <mergeCell ref="C112:H112"/>
    <mergeCell ref="C113:H113"/>
    <mergeCell ref="C114:H114"/>
    <mergeCell ref="C115:H115"/>
    <mergeCell ref="C116:H116"/>
    <mergeCell ref="C117:H117"/>
    <mergeCell ref="C86:H86"/>
    <mergeCell ref="C87:H87"/>
    <mergeCell ref="C88:H88"/>
    <mergeCell ref="C89:H89"/>
    <mergeCell ref="C91:H91"/>
    <mergeCell ref="C92:H92"/>
    <mergeCell ref="C93:H93"/>
    <mergeCell ref="C94:H94"/>
    <mergeCell ref="C95:H95"/>
    <mergeCell ref="C79:H79"/>
    <mergeCell ref="C80:H80"/>
    <mergeCell ref="C81:H81"/>
    <mergeCell ref="C82:H82"/>
    <mergeCell ref="C83:H83"/>
    <mergeCell ref="C84:H84"/>
    <mergeCell ref="C85:H85"/>
    <mergeCell ref="C263:I263"/>
    <mergeCell ref="B254:I254"/>
    <mergeCell ref="C257:I257"/>
    <mergeCell ref="B259:I259"/>
    <mergeCell ref="C258:I258"/>
    <mergeCell ref="C260:I260"/>
    <mergeCell ref="C261:I261"/>
    <mergeCell ref="C262:I262"/>
    <mergeCell ref="C255:I255"/>
    <mergeCell ref="C256:I256"/>
    <mergeCell ref="C240:I240"/>
    <mergeCell ref="C251:I251"/>
    <mergeCell ref="C252:I252"/>
    <mergeCell ref="C247:I247"/>
    <mergeCell ref="C248:I248"/>
    <mergeCell ref="C230:I230"/>
    <mergeCell ref="C242:I242"/>
    <mergeCell ref="C245:I245"/>
    <mergeCell ref="C249:I249"/>
    <mergeCell ref="C250:I250"/>
    <mergeCell ref="C239:I239"/>
    <mergeCell ref="C234:I234"/>
    <mergeCell ref="C235:I235"/>
    <mergeCell ref="C236:I236"/>
    <mergeCell ref="C232:I232"/>
    <mergeCell ref="C238:I238"/>
    <mergeCell ref="C253:I253"/>
    <mergeCell ref="C243:I243"/>
    <mergeCell ref="C244:I244"/>
    <mergeCell ref="C246:I246"/>
    <mergeCell ref="B229:I229"/>
    <mergeCell ref="B241:I241"/>
    <mergeCell ref="C224:I224"/>
    <mergeCell ref="C218:I218"/>
    <mergeCell ref="C188:I188"/>
    <mergeCell ref="B221:I221"/>
    <mergeCell ref="B192:I192"/>
    <mergeCell ref="C213:I213"/>
    <mergeCell ref="C215:I215"/>
    <mergeCell ref="C216:I216"/>
    <mergeCell ref="C217:I217"/>
    <mergeCell ref="B212:I212"/>
    <mergeCell ref="C220:I220"/>
    <mergeCell ref="C189:I189"/>
    <mergeCell ref="C190:I190"/>
    <mergeCell ref="C222:I222"/>
    <mergeCell ref="C199:I199"/>
    <mergeCell ref="C200:I200"/>
    <mergeCell ref="C206:I206"/>
    <mergeCell ref="C193:I193"/>
    <mergeCell ref="C187:I187"/>
    <mergeCell ref="C194:I194"/>
    <mergeCell ref="C195:I195"/>
    <mergeCell ref="C205:I205"/>
    <mergeCell ref="C197:I197"/>
    <mergeCell ref="C198:I198"/>
    <mergeCell ref="C203:I203"/>
    <mergeCell ref="C208:I208"/>
    <mergeCell ref="C201:I201"/>
    <mergeCell ref="C204:I204"/>
    <mergeCell ref="C202:I202"/>
    <mergeCell ref="C159:I159"/>
    <mergeCell ref="C160:I160"/>
    <mergeCell ref="C179:I179"/>
    <mergeCell ref="B170:I170"/>
    <mergeCell ref="C169:I169"/>
    <mergeCell ref="C174:I174"/>
    <mergeCell ref="C176:I176"/>
    <mergeCell ref="C173:I173"/>
    <mergeCell ref="C178:I178"/>
    <mergeCell ref="B175:I175"/>
    <mergeCell ref="C162:I162"/>
    <mergeCell ref="C163:I163"/>
    <mergeCell ref="C161:I161"/>
    <mergeCell ref="C164:I164"/>
    <mergeCell ref="C165:I165"/>
    <mergeCell ref="C166:I166"/>
    <mergeCell ref="C167:I167"/>
    <mergeCell ref="C168:I168"/>
    <mergeCell ref="C171:I171"/>
    <mergeCell ref="B76:E76"/>
    <mergeCell ref="B5:J5"/>
    <mergeCell ref="B54:J54"/>
    <mergeCell ref="B61:J61"/>
    <mergeCell ref="B25:I25"/>
    <mergeCell ref="B31:E31"/>
    <mergeCell ref="B55:H55"/>
    <mergeCell ref="C32:E32"/>
    <mergeCell ref="C33:E33"/>
    <mergeCell ref="C34:E34"/>
    <mergeCell ref="C35:E35"/>
    <mergeCell ref="C36:E36"/>
    <mergeCell ref="B6:I6"/>
    <mergeCell ref="B9:I9"/>
    <mergeCell ref="B29:I29"/>
    <mergeCell ref="B8:I8"/>
  </mergeCells>
  <phoneticPr fontId="11" type="noConversion"/>
  <hyperlinks>
    <hyperlink ref="E58" location="Restated_Information_FY2024_Water" display="Updated allocation of water withdrawn from regions with high or extremely high baseline water stress reflected in the revised FY2024 Water tables of this Databook." xr:uid="{ED5CEA8B-EEEC-4E82-8C00-0C1895D76333}"/>
  </hyperlinks>
  <pageMargins left="0.7" right="0.7" top="0.75" bottom="0.75" header="0.3" footer="0.3"/>
  <drawing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DE54E-9716-4F9D-A0F7-945AEABB2086}">
  <sheetPr>
    <pageSetUpPr fitToPage="1"/>
  </sheetPr>
  <dimension ref="B2:J81"/>
  <sheetViews>
    <sheetView zoomScale="90" zoomScaleNormal="90" workbookViewId="0">
      <selection activeCell="B2" sqref="B2:D2"/>
    </sheetView>
  </sheetViews>
  <sheetFormatPr defaultColWidth="8.88671875" defaultRowHeight="14.4"/>
  <cols>
    <col min="1" max="1" width="3.33203125" style="64" customWidth="1"/>
    <col min="2" max="2" width="5.6640625" style="64" customWidth="1"/>
    <col min="3" max="3" width="34.6640625" style="64" customWidth="1"/>
    <col min="4" max="5" width="56.44140625" style="64" customWidth="1"/>
    <col min="6" max="6" width="24.44140625" style="64" customWidth="1"/>
    <col min="7" max="7" width="24.109375" style="112" customWidth="1"/>
    <col min="8" max="8" width="20.6640625" style="112" customWidth="1"/>
    <col min="9" max="9" width="30.44140625" style="64" customWidth="1"/>
    <col min="10" max="13" width="8.88671875" style="64" customWidth="1"/>
    <col min="14" max="14" width="9.109375" style="64" bestFit="1" customWidth="1"/>
    <col min="15" max="15" width="8.88671875" style="64" customWidth="1"/>
    <col min="16" max="16384" width="8.88671875" style="64"/>
  </cols>
  <sheetData>
    <row r="2" spans="2:10" ht="21">
      <c r="B2" s="628" t="s">
        <v>1137</v>
      </c>
      <c r="C2" s="629"/>
      <c r="D2" s="629"/>
    </row>
    <row r="4" spans="2:10">
      <c r="B4" s="68"/>
      <c r="C4" s="68" t="s">
        <v>1138</v>
      </c>
      <c r="D4" s="68"/>
      <c r="E4" s="68">
        <v>2025</v>
      </c>
      <c r="F4" s="68">
        <v>2024</v>
      </c>
      <c r="G4" s="68">
        <v>2023</v>
      </c>
      <c r="H4" s="68">
        <v>2022</v>
      </c>
      <c r="I4" s="65"/>
      <c r="J4" s="65"/>
    </row>
    <row r="5" spans="2:10" s="151" customFormat="1" ht="13.8">
      <c r="B5" s="152" t="s">
        <v>1139</v>
      </c>
      <c r="C5" s="153"/>
      <c r="D5" s="154"/>
      <c r="E5" s="154"/>
      <c r="F5" s="154"/>
      <c r="G5" s="155"/>
      <c r="H5" s="155"/>
      <c r="I5" s="156"/>
      <c r="J5" s="156"/>
    </row>
    <row r="6" spans="2:10" s="151" customFormat="1" ht="13.8">
      <c r="B6" s="157" t="s">
        <v>1140</v>
      </c>
      <c r="C6" s="157"/>
      <c r="D6" s="157"/>
      <c r="E6" s="157"/>
      <c r="F6" s="157"/>
      <c r="G6" s="157"/>
      <c r="H6" s="157"/>
      <c r="I6" s="156"/>
      <c r="J6" s="156"/>
    </row>
    <row r="7" spans="2:10" s="151" customFormat="1" ht="13.8">
      <c r="C7" s="625" t="s">
        <v>1141</v>
      </c>
      <c r="D7" s="156" t="s">
        <v>1142</v>
      </c>
      <c r="E7" s="158">
        <v>27578052.794904422</v>
      </c>
      <c r="F7" s="159">
        <v>32484333.211981028</v>
      </c>
      <c r="G7" s="159">
        <v>41086171.21484375</v>
      </c>
      <c r="H7" s="159">
        <v>33951361</v>
      </c>
      <c r="I7" s="156"/>
      <c r="J7" s="156"/>
    </row>
    <row r="8" spans="2:10" s="151" customFormat="1" ht="13.8">
      <c r="C8" s="627"/>
      <c r="D8" s="156" t="s">
        <v>1143</v>
      </c>
      <c r="E8" s="168" t="s">
        <v>1144</v>
      </c>
      <c r="F8" s="159">
        <v>621893</v>
      </c>
      <c r="G8" s="159">
        <v>564458</v>
      </c>
      <c r="H8" s="159">
        <v>532319</v>
      </c>
      <c r="I8" s="156"/>
      <c r="J8" s="156"/>
    </row>
    <row r="9" spans="2:10" s="151" customFormat="1" ht="13.8">
      <c r="B9" s="152" t="s">
        <v>1145</v>
      </c>
      <c r="C9" s="153"/>
      <c r="D9" s="154"/>
      <c r="E9" s="154"/>
      <c r="F9" s="154"/>
      <c r="G9" s="154"/>
      <c r="H9" s="154"/>
      <c r="I9" s="156"/>
      <c r="J9" s="156"/>
    </row>
    <row r="10" spans="2:10" s="151" customFormat="1" ht="13.8">
      <c r="B10" s="157" t="s">
        <v>1146</v>
      </c>
      <c r="C10" s="157"/>
      <c r="D10" s="157"/>
      <c r="E10" s="157"/>
      <c r="F10" s="157"/>
      <c r="G10" s="157"/>
      <c r="H10" s="157"/>
      <c r="I10" s="156"/>
      <c r="J10" s="156"/>
    </row>
    <row r="11" spans="2:10" s="151" customFormat="1" ht="13.8">
      <c r="C11" s="625" t="s">
        <v>1147</v>
      </c>
      <c r="D11" s="156" t="s">
        <v>1148</v>
      </c>
      <c r="E11" s="161">
        <v>1.65</v>
      </c>
      <c r="F11" s="162">
        <v>2.2105376227303162</v>
      </c>
      <c r="G11" s="162">
        <v>1.46731841402968</v>
      </c>
      <c r="H11" s="162">
        <v>2.1246856474467459</v>
      </c>
      <c r="I11" s="156"/>
      <c r="J11" s="156"/>
    </row>
    <row r="12" spans="2:10" s="151" customFormat="1" ht="13.8">
      <c r="C12" s="627"/>
      <c r="D12" s="156" t="s">
        <v>1149</v>
      </c>
      <c r="E12" s="456">
        <v>0.7</v>
      </c>
      <c r="F12" s="162">
        <v>0.49123058282895921</v>
      </c>
      <c r="G12" s="162">
        <v>0.34237429660692542</v>
      </c>
      <c r="H12" s="162">
        <v>0.33801817118470961</v>
      </c>
      <c r="I12" s="156"/>
      <c r="J12" s="156"/>
    </row>
    <row r="13" spans="2:10" s="151" customFormat="1" ht="13.8">
      <c r="B13" s="163"/>
      <c r="C13" s="627"/>
      <c r="D13" s="156" t="s">
        <v>1150</v>
      </c>
      <c r="E13" s="161">
        <v>0</v>
      </c>
      <c r="F13" s="164">
        <v>1</v>
      </c>
      <c r="G13" s="164">
        <v>1</v>
      </c>
      <c r="H13" s="164">
        <v>0</v>
      </c>
      <c r="I13" s="156"/>
      <c r="J13" s="156"/>
    </row>
    <row r="14" spans="2:10" s="151" customFormat="1" ht="13.8">
      <c r="B14" s="152" t="s">
        <v>1151</v>
      </c>
      <c r="C14" s="153"/>
      <c r="D14" s="154"/>
      <c r="E14" s="154"/>
      <c r="F14" s="154"/>
      <c r="G14" s="154"/>
      <c r="H14" s="154"/>
      <c r="I14" s="156"/>
      <c r="J14" s="156"/>
    </row>
    <row r="15" spans="2:10" s="151" customFormat="1" ht="13.8">
      <c r="B15" s="157" t="s">
        <v>1152</v>
      </c>
      <c r="C15" s="157"/>
      <c r="D15" s="157"/>
      <c r="E15" s="157"/>
      <c r="F15" s="157"/>
      <c r="G15" s="157"/>
      <c r="H15" s="157"/>
      <c r="I15" s="156"/>
      <c r="J15" s="156"/>
    </row>
    <row r="16" spans="2:10" s="151" customFormat="1" ht="13.8">
      <c r="C16" s="625" t="s">
        <v>1153</v>
      </c>
      <c r="D16" s="165" t="s">
        <v>1154</v>
      </c>
      <c r="E16" s="166">
        <v>12015542</v>
      </c>
      <c r="F16" s="167">
        <v>6468693.8101979997</v>
      </c>
      <c r="G16" s="167">
        <v>5861206.7416446237</v>
      </c>
      <c r="H16" s="167">
        <v>5824320.3832605993</v>
      </c>
      <c r="I16" s="156"/>
      <c r="J16" s="156"/>
    </row>
    <row r="17" spans="2:10" s="151" customFormat="1" ht="13.8">
      <c r="C17" s="625"/>
      <c r="D17" s="156" t="s">
        <v>1155</v>
      </c>
      <c r="E17" s="168">
        <v>6731119.1799999997</v>
      </c>
      <c r="F17" s="169">
        <v>4004304.983463</v>
      </c>
      <c r="G17" s="169">
        <v>3923038.0742729828</v>
      </c>
      <c r="H17" s="169">
        <v>4050031.8010160001</v>
      </c>
      <c r="I17" s="156"/>
      <c r="J17" s="156"/>
    </row>
    <row r="18" spans="2:10" s="151" customFormat="1" ht="13.8">
      <c r="C18" s="625"/>
      <c r="D18" s="156" t="s">
        <v>1156</v>
      </c>
      <c r="E18" s="168">
        <v>299535.33</v>
      </c>
      <c r="F18" s="169">
        <v>111228.158817</v>
      </c>
      <c r="G18" s="169">
        <v>31253.939617600001</v>
      </c>
      <c r="H18" s="169">
        <v>46403</v>
      </c>
      <c r="I18" s="156"/>
      <c r="J18" s="156"/>
    </row>
    <row r="19" spans="2:10" s="151" customFormat="1" ht="13.8">
      <c r="C19" s="625"/>
      <c r="D19" s="156" t="s">
        <v>1157</v>
      </c>
      <c r="E19" s="168">
        <v>128785.73</v>
      </c>
      <c r="F19" s="169">
        <v>258379.76953399999</v>
      </c>
      <c r="G19" s="169">
        <v>149030.45131404011</v>
      </c>
      <c r="H19" s="169">
        <v>86106.317584600009</v>
      </c>
      <c r="I19" s="156"/>
      <c r="J19" s="156"/>
    </row>
    <row r="20" spans="2:10" s="151" customFormat="1" ht="13.8">
      <c r="C20" s="625"/>
      <c r="D20" s="156" t="s">
        <v>1158</v>
      </c>
      <c r="E20" s="168">
        <v>190254.49</v>
      </c>
      <c r="F20" s="169">
        <v>114247.18148</v>
      </c>
      <c r="G20" s="169">
        <v>98248.060440000016</v>
      </c>
      <c r="H20" s="169">
        <v>124554.71451999999</v>
      </c>
      <c r="I20" s="156"/>
      <c r="J20" s="156"/>
    </row>
    <row r="21" spans="2:10" s="151" customFormat="1" ht="13.8">
      <c r="C21" s="625"/>
      <c r="D21" s="156" t="s">
        <v>1159</v>
      </c>
      <c r="E21" s="170">
        <v>2384059.56</v>
      </c>
      <c r="F21" s="169">
        <v>378980.64250399999</v>
      </c>
      <c r="G21" s="169" t="s">
        <v>875</v>
      </c>
      <c r="H21" s="169" t="s">
        <v>875</v>
      </c>
      <c r="I21" s="156"/>
      <c r="J21" s="156"/>
    </row>
    <row r="22" spans="2:10" s="151" customFormat="1" ht="13.8">
      <c r="C22" s="625"/>
      <c r="D22" s="156" t="s">
        <v>1160</v>
      </c>
      <c r="E22" s="168">
        <v>2281788.15</v>
      </c>
      <c r="F22" s="169">
        <v>1601553.0744</v>
      </c>
      <c r="G22" s="169">
        <v>1659636.216</v>
      </c>
      <c r="H22" s="169">
        <v>1517226.1632000001</v>
      </c>
      <c r="I22" s="156"/>
      <c r="J22" s="156"/>
    </row>
    <row r="23" spans="2:10" s="151" customFormat="1" ht="13.8">
      <c r="C23" s="156"/>
      <c r="D23" s="156"/>
      <c r="E23" s="156"/>
      <c r="F23" s="171"/>
      <c r="G23" s="171"/>
      <c r="H23" s="171"/>
      <c r="I23" s="156"/>
      <c r="J23" s="156"/>
    </row>
    <row r="24" spans="2:10" s="151" customFormat="1" ht="13.8">
      <c r="B24" s="172"/>
      <c r="C24" s="173" t="s">
        <v>1161</v>
      </c>
      <c r="D24" s="173" t="s">
        <v>1162</v>
      </c>
      <c r="E24" s="174">
        <v>13.4</v>
      </c>
      <c r="F24" s="175">
        <v>11.79</v>
      </c>
      <c r="G24" s="175">
        <v>10.38377831768639</v>
      </c>
      <c r="H24" s="175">
        <v>11.22</v>
      </c>
      <c r="I24" s="173"/>
      <c r="J24" s="173"/>
    </row>
    <row r="25" spans="2:10" s="151" customFormat="1" ht="13.8">
      <c r="B25" s="172"/>
      <c r="C25" s="173"/>
      <c r="D25" s="173"/>
      <c r="E25" s="176"/>
      <c r="F25" s="177"/>
      <c r="G25" s="177"/>
      <c r="H25" s="177"/>
      <c r="I25" s="173"/>
      <c r="J25" s="173"/>
    </row>
    <row r="26" spans="2:10" s="151" customFormat="1" ht="13.8">
      <c r="C26" s="156" t="s">
        <v>1163</v>
      </c>
      <c r="D26" s="156" t="s">
        <v>1164</v>
      </c>
      <c r="E26" s="168">
        <v>612006</v>
      </c>
      <c r="F26" s="169">
        <v>301539</v>
      </c>
      <c r="G26" s="169">
        <v>278144.77335713833</v>
      </c>
      <c r="H26" s="169">
        <v>281845</v>
      </c>
      <c r="I26" s="156"/>
      <c r="J26" s="156"/>
    </row>
    <row r="27" spans="2:10" s="151" customFormat="1" ht="13.8">
      <c r="C27" s="156"/>
      <c r="D27" s="156"/>
      <c r="E27" s="156"/>
      <c r="F27" s="169"/>
      <c r="G27" s="171"/>
      <c r="H27" s="171"/>
      <c r="I27" s="156"/>
      <c r="J27" s="156"/>
    </row>
    <row r="28" spans="2:10" s="151" customFormat="1" ht="13.8">
      <c r="C28" s="156" t="s">
        <v>1165</v>
      </c>
      <c r="D28" s="156" t="s">
        <v>1166</v>
      </c>
      <c r="E28" s="160">
        <v>46450</v>
      </c>
      <c r="F28" s="169">
        <v>50168.427799999998</v>
      </c>
      <c r="G28" s="169">
        <v>49634.937380000003</v>
      </c>
      <c r="H28" s="169">
        <v>59301.506924000001</v>
      </c>
      <c r="I28" s="156"/>
      <c r="J28" s="156"/>
    </row>
    <row r="29" spans="2:10" s="151" customFormat="1" ht="13.8">
      <c r="C29" s="156"/>
      <c r="D29" s="156"/>
      <c r="E29" s="156"/>
      <c r="F29" s="169"/>
      <c r="G29" s="171"/>
      <c r="H29" s="171"/>
      <c r="I29" s="156"/>
      <c r="J29" s="156"/>
    </row>
    <row r="30" spans="2:10" s="151" customFormat="1" ht="13.8">
      <c r="B30" s="172"/>
      <c r="C30" s="173" t="s">
        <v>1167</v>
      </c>
      <c r="D30" s="173" t="s">
        <v>1168</v>
      </c>
      <c r="E30" s="178">
        <v>658456</v>
      </c>
      <c r="F30" s="169">
        <v>351707.91715499997</v>
      </c>
      <c r="G30" s="169">
        <v>327779.71073713829</v>
      </c>
      <c r="H30" s="169">
        <v>341147</v>
      </c>
      <c r="I30" s="173"/>
      <c r="J30" s="173"/>
    </row>
    <row r="31" spans="2:10" s="151" customFormat="1" ht="13.8">
      <c r="B31" s="172"/>
      <c r="C31" s="173"/>
      <c r="D31" s="173"/>
      <c r="E31" s="173"/>
      <c r="F31" s="179"/>
      <c r="G31" s="179"/>
      <c r="H31" s="179"/>
      <c r="I31" s="173"/>
      <c r="J31" s="173"/>
    </row>
    <row r="32" spans="2:10" s="151" customFormat="1" ht="13.8">
      <c r="C32" s="173" t="s">
        <v>1167</v>
      </c>
      <c r="D32" s="156" t="s">
        <v>1169</v>
      </c>
      <c r="E32" s="161">
        <v>0.73</v>
      </c>
      <c r="F32" s="175">
        <v>0.64</v>
      </c>
      <c r="G32" s="175">
        <v>0.58069814005140907</v>
      </c>
      <c r="H32" s="175">
        <v>0.65751041387681031</v>
      </c>
      <c r="I32" s="156"/>
      <c r="J32" s="156"/>
    </row>
    <row r="33" spans="2:10" s="151" customFormat="1" ht="13.8">
      <c r="B33" s="157" t="s">
        <v>1170</v>
      </c>
      <c r="C33" s="157"/>
      <c r="D33" s="157"/>
      <c r="E33" s="157"/>
      <c r="F33" s="157"/>
      <c r="G33" s="157"/>
      <c r="H33" s="157"/>
      <c r="I33" s="156"/>
      <c r="J33" s="156"/>
    </row>
    <row r="34" spans="2:10" s="151" customFormat="1" ht="13.8">
      <c r="C34" s="625" t="s">
        <v>1171</v>
      </c>
      <c r="D34" s="165" t="s">
        <v>1172</v>
      </c>
      <c r="E34" s="165"/>
      <c r="F34" s="165"/>
      <c r="G34" s="165"/>
      <c r="H34" s="156"/>
      <c r="I34" s="156"/>
      <c r="J34" s="156"/>
    </row>
    <row r="35" spans="2:10" s="151" customFormat="1" ht="15">
      <c r="C35" s="625"/>
      <c r="D35" s="156" t="s">
        <v>1173</v>
      </c>
      <c r="E35" s="160">
        <v>19913764</v>
      </c>
      <c r="F35" s="180">
        <v>13734083.128</v>
      </c>
      <c r="G35" s="160">
        <v>15169272.562999999</v>
      </c>
      <c r="H35" s="160">
        <v>10152593</v>
      </c>
      <c r="I35" s="156"/>
      <c r="J35" s="156"/>
    </row>
    <row r="36" spans="2:10" s="151" customFormat="1" ht="13.8">
      <c r="C36" s="455"/>
      <c r="D36" s="165" t="s">
        <v>1174</v>
      </c>
      <c r="E36" s="160"/>
      <c r="F36" s="180"/>
      <c r="G36" s="160"/>
      <c r="H36" s="160"/>
      <c r="I36" s="156"/>
      <c r="J36" s="156"/>
    </row>
    <row r="37" spans="2:10" s="151" customFormat="1" ht="15">
      <c r="C37" s="455" t="s">
        <v>1175</v>
      </c>
      <c r="D37" s="156" t="s">
        <v>1176</v>
      </c>
      <c r="E37" s="160">
        <v>11965758</v>
      </c>
      <c r="F37" s="180">
        <v>4860529</v>
      </c>
      <c r="G37" s="160">
        <v>3242048</v>
      </c>
      <c r="H37" s="160">
        <v>3398650</v>
      </c>
      <c r="I37" s="156"/>
      <c r="J37" s="156"/>
    </row>
    <row r="38" spans="2:10" s="151" customFormat="1" ht="13.8">
      <c r="B38" s="157" t="s">
        <v>1177</v>
      </c>
      <c r="C38" s="157"/>
      <c r="D38" s="157"/>
      <c r="E38" s="157"/>
      <c r="F38" s="157"/>
      <c r="G38" s="157"/>
      <c r="H38" s="157"/>
      <c r="I38" s="156"/>
      <c r="J38" s="156"/>
    </row>
    <row r="39" spans="2:10" s="151" customFormat="1" ht="13.8">
      <c r="C39" s="625" t="s">
        <v>1178</v>
      </c>
      <c r="D39" s="165" t="s">
        <v>1179</v>
      </c>
      <c r="E39" s="165"/>
      <c r="F39" s="165"/>
      <c r="G39" s="160"/>
      <c r="H39" s="160"/>
      <c r="I39" s="156"/>
      <c r="J39" s="156"/>
    </row>
    <row r="40" spans="2:10" s="151" customFormat="1" ht="13.8">
      <c r="C40" s="625"/>
      <c r="D40" s="156" t="s">
        <v>1180</v>
      </c>
      <c r="E40" s="161">
        <v>448</v>
      </c>
      <c r="F40" s="169">
        <v>516.27980000000002</v>
      </c>
      <c r="G40" s="169">
        <v>177.12</v>
      </c>
      <c r="H40" s="169">
        <v>196.4</v>
      </c>
      <c r="I40" s="156"/>
      <c r="J40" s="156"/>
    </row>
    <row r="41" spans="2:10" s="151" customFormat="1" ht="13.8">
      <c r="C41" s="625"/>
      <c r="D41" s="156" t="s">
        <v>1181</v>
      </c>
      <c r="E41" s="161">
        <v>40</v>
      </c>
      <c r="F41" s="169">
        <v>38.524999999999999</v>
      </c>
      <c r="G41" s="169">
        <v>47.113999999999997</v>
      </c>
      <c r="H41" s="169">
        <v>145</v>
      </c>
      <c r="I41" s="156"/>
      <c r="J41" s="156"/>
    </row>
    <row r="42" spans="2:10" s="151" customFormat="1" ht="13.8">
      <c r="B42" s="157" t="s">
        <v>1182</v>
      </c>
      <c r="C42" s="157"/>
      <c r="D42" s="157"/>
      <c r="E42" s="157"/>
      <c r="F42" s="157"/>
      <c r="G42" s="157"/>
      <c r="H42" s="157"/>
      <c r="I42" s="156"/>
      <c r="J42" s="156"/>
    </row>
    <row r="43" spans="2:10" s="151" customFormat="1" ht="13.8">
      <c r="C43" s="626" t="s">
        <v>1183</v>
      </c>
      <c r="D43" s="165" t="s">
        <v>1184</v>
      </c>
      <c r="E43" s="165"/>
      <c r="F43" s="165"/>
      <c r="G43" s="181"/>
      <c r="H43" s="181"/>
      <c r="I43" s="156"/>
      <c r="J43" s="156"/>
    </row>
    <row r="44" spans="2:10" s="151" customFormat="1" ht="13.8">
      <c r="C44" s="627"/>
      <c r="D44" s="156" t="s">
        <v>1185</v>
      </c>
      <c r="E44" s="169">
        <v>185431569.94373351</v>
      </c>
      <c r="F44" s="169">
        <v>143352115.98199999</v>
      </c>
      <c r="G44" s="169">
        <v>119351721.435</v>
      </c>
      <c r="H44" s="169">
        <v>146383975</v>
      </c>
      <c r="I44" s="156"/>
      <c r="J44" s="156"/>
    </row>
    <row r="45" spans="2:10" s="151" customFormat="1" ht="13.8">
      <c r="C45" s="627"/>
      <c r="D45" s="156" t="s">
        <v>1186</v>
      </c>
      <c r="E45" s="138">
        <v>17903138.112195268</v>
      </c>
      <c r="F45" s="169">
        <v>9178312.4800000004</v>
      </c>
      <c r="G45" s="169">
        <v>13022478.310000001</v>
      </c>
      <c r="H45" s="169">
        <v>9699533</v>
      </c>
      <c r="I45" s="156"/>
      <c r="J45" s="156"/>
    </row>
    <row r="46" spans="2:10" s="151" customFormat="1" ht="6" customHeight="1">
      <c r="C46" s="156"/>
      <c r="D46" s="156"/>
      <c r="E46" s="156"/>
      <c r="F46" s="156"/>
      <c r="G46" s="156"/>
      <c r="H46" s="156"/>
      <c r="I46" s="156"/>
      <c r="J46" s="156"/>
    </row>
    <row r="47" spans="2:10" s="151" customFormat="1" ht="13.8">
      <c r="C47" s="156" t="s">
        <v>1187</v>
      </c>
      <c r="D47" s="165" t="s">
        <v>1188</v>
      </c>
      <c r="E47" s="156"/>
      <c r="F47" s="165"/>
      <c r="G47" s="181"/>
      <c r="H47" s="181"/>
      <c r="I47" s="156"/>
      <c r="J47" s="156"/>
    </row>
    <row r="48" spans="2:10" s="151" customFormat="1" ht="13.8">
      <c r="C48" s="156" t="s">
        <v>1189</v>
      </c>
      <c r="D48" s="156" t="s">
        <v>1190</v>
      </c>
      <c r="E48" s="182">
        <v>4480.7777100000003</v>
      </c>
      <c r="F48" s="182">
        <v>1406.4849999999999</v>
      </c>
      <c r="G48" s="182">
        <v>992.20699999999999</v>
      </c>
      <c r="H48" s="182">
        <v>972</v>
      </c>
      <c r="I48" s="156"/>
      <c r="J48" s="156"/>
    </row>
    <row r="49" spans="2:10" s="151" customFormat="1" ht="13.8">
      <c r="C49" s="156" t="s">
        <v>1191</v>
      </c>
      <c r="D49" s="156" t="s">
        <v>1192</v>
      </c>
      <c r="E49" s="182">
        <v>32388.746582833312</v>
      </c>
      <c r="F49" s="182">
        <v>5706.9330000000009</v>
      </c>
      <c r="G49" s="182">
        <v>3436.5929999999998</v>
      </c>
      <c r="H49" s="182">
        <v>123345</v>
      </c>
      <c r="I49" s="183"/>
      <c r="J49" s="156"/>
    </row>
    <row r="50" spans="2:10" s="151" customFormat="1" ht="13.8">
      <c r="C50" s="156"/>
      <c r="D50" s="156"/>
      <c r="E50" s="156"/>
      <c r="F50" s="171"/>
      <c r="G50" s="171"/>
      <c r="H50" s="171"/>
      <c r="I50" s="156"/>
      <c r="J50" s="156"/>
    </row>
    <row r="51" spans="2:10" s="151" customFormat="1" ht="13.8">
      <c r="C51" s="156" t="s">
        <v>1193</v>
      </c>
      <c r="D51" s="165" t="s">
        <v>1194</v>
      </c>
      <c r="E51" s="184">
        <v>0</v>
      </c>
      <c r="F51" s="175">
        <v>0.2</v>
      </c>
      <c r="G51" s="161">
        <v>0.28999999999999998</v>
      </c>
      <c r="H51" s="161">
        <v>0.63</v>
      </c>
      <c r="I51" s="156"/>
      <c r="J51" s="156"/>
    </row>
    <row r="52" spans="2:10" s="151" customFormat="1" ht="13.8">
      <c r="B52" s="185" t="s">
        <v>1195</v>
      </c>
      <c r="C52" s="186"/>
      <c r="D52" s="186"/>
      <c r="E52" s="186"/>
      <c r="F52" s="186"/>
      <c r="G52" s="186"/>
      <c r="H52" s="186"/>
      <c r="I52" s="156"/>
      <c r="J52" s="156"/>
    </row>
    <row r="53" spans="2:10" s="151" customFormat="1" ht="13.8">
      <c r="B53" s="157" t="s">
        <v>1196</v>
      </c>
      <c r="C53" s="157"/>
      <c r="D53" s="157"/>
      <c r="E53" s="157"/>
      <c r="F53" s="157"/>
      <c r="G53" s="157"/>
      <c r="H53" s="157"/>
      <c r="I53" s="156"/>
      <c r="J53" s="156"/>
    </row>
    <row r="54" spans="2:10" s="151" customFormat="1" ht="13.8">
      <c r="C54" s="156" t="s">
        <v>98</v>
      </c>
      <c r="D54" s="165" t="s">
        <v>110</v>
      </c>
      <c r="E54" s="165"/>
      <c r="F54" s="165"/>
      <c r="G54" s="181"/>
      <c r="H54" s="181"/>
      <c r="I54" s="156"/>
      <c r="J54" s="156"/>
    </row>
    <row r="55" spans="2:10" s="151" customFormat="1" ht="13.8">
      <c r="C55" s="156" t="s">
        <v>1197</v>
      </c>
      <c r="D55" s="156" t="s">
        <v>1198</v>
      </c>
      <c r="E55" s="156">
        <v>5219</v>
      </c>
      <c r="F55" s="169">
        <v>3964</v>
      </c>
      <c r="G55" s="169">
        <v>3692</v>
      </c>
      <c r="H55" s="169">
        <v>3434</v>
      </c>
      <c r="I55" s="160"/>
      <c r="J55" s="156"/>
    </row>
    <row r="56" spans="2:10" s="151" customFormat="1" ht="13.8">
      <c r="C56" s="625" t="s">
        <v>1199</v>
      </c>
      <c r="D56" s="156" t="s">
        <v>1200</v>
      </c>
      <c r="E56" s="156">
        <v>7944</v>
      </c>
      <c r="F56" s="169">
        <v>4244</v>
      </c>
      <c r="G56" s="169">
        <v>4384</v>
      </c>
      <c r="H56" s="160">
        <v>5037</v>
      </c>
      <c r="I56" s="160"/>
      <c r="J56" s="156"/>
    </row>
    <row r="57" spans="2:10" s="151" customFormat="1" ht="13.8">
      <c r="C57" s="627"/>
      <c r="D57" s="156" t="s">
        <v>1201</v>
      </c>
      <c r="E57" s="187">
        <v>0.6</v>
      </c>
      <c r="F57" s="188">
        <v>0.51705653021442499</v>
      </c>
      <c r="G57" s="188">
        <v>0.54284299157999005</v>
      </c>
      <c r="H57" s="188">
        <v>0.59461692834376112</v>
      </c>
      <c r="J57" s="156"/>
    </row>
    <row r="58" spans="2:10" s="151" customFormat="1" ht="13.8">
      <c r="C58" s="156" t="s">
        <v>1202</v>
      </c>
      <c r="D58" s="156" t="s">
        <v>1203</v>
      </c>
      <c r="E58" s="187">
        <v>0.56000000000000005</v>
      </c>
      <c r="F58" s="189">
        <v>0.6874369323915237</v>
      </c>
      <c r="G58" s="189">
        <v>0.72318526543878658</v>
      </c>
      <c r="H58" s="189">
        <v>0.79</v>
      </c>
      <c r="I58" s="156"/>
      <c r="J58" s="156"/>
    </row>
    <row r="59" spans="2:10" s="151" customFormat="1" ht="13.8">
      <c r="B59" s="157" t="s">
        <v>1204</v>
      </c>
      <c r="C59" s="157"/>
      <c r="D59" s="157"/>
      <c r="E59" s="157"/>
      <c r="F59" s="157"/>
      <c r="G59" s="157"/>
      <c r="H59" s="157"/>
      <c r="I59" s="156"/>
      <c r="J59" s="156"/>
    </row>
    <row r="60" spans="2:10" s="151" customFormat="1" ht="13.8">
      <c r="C60" s="156" t="s">
        <v>1205</v>
      </c>
      <c r="D60" s="165" t="s">
        <v>1206</v>
      </c>
      <c r="E60" s="165"/>
      <c r="F60" s="165"/>
      <c r="G60" s="165"/>
      <c r="H60" s="156"/>
      <c r="I60" s="156"/>
      <c r="J60" s="156"/>
    </row>
    <row r="61" spans="2:10" s="151" customFormat="1" ht="13.8">
      <c r="C61" s="156"/>
      <c r="D61" s="156" t="s">
        <v>1207</v>
      </c>
      <c r="E61" s="187">
        <v>0.16286644951140064</v>
      </c>
      <c r="F61" s="189">
        <v>0.15237134207870839</v>
      </c>
      <c r="G61" s="189">
        <v>0.1462621885157096</v>
      </c>
      <c r="H61" s="189">
        <v>0.14000000000000001</v>
      </c>
      <c r="I61" s="156"/>
      <c r="J61" s="156"/>
    </row>
    <row r="62" spans="2:10" s="151" customFormat="1" ht="13.8">
      <c r="C62" s="156"/>
      <c r="D62" s="156" t="s">
        <v>1208</v>
      </c>
      <c r="E62" s="187">
        <v>0.3</v>
      </c>
      <c r="F62" s="190">
        <v>0.375</v>
      </c>
      <c r="G62" s="189">
        <v>0.25</v>
      </c>
      <c r="H62" s="189">
        <v>0.22</v>
      </c>
      <c r="I62" s="156"/>
      <c r="J62" s="156"/>
    </row>
    <row r="63" spans="2:10" s="151" customFormat="1" ht="13.8">
      <c r="C63" s="156"/>
      <c r="D63" s="156" t="s">
        <v>1209</v>
      </c>
      <c r="E63" s="187">
        <v>0.14705882352941177</v>
      </c>
      <c r="F63" s="190">
        <v>0.2121212121212121</v>
      </c>
      <c r="G63" s="189">
        <v>0.30434782608695649</v>
      </c>
      <c r="H63" s="189">
        <v>0.25</v>
      </c>
      <c r="I63" s="191" t="s">
        <v>1210</v>
      </c>
      <c r="J63" s="156"/>
    </row>
    <row r="64" spans="2:10" s="151" customFormat="1" ht="13.8">
      <c r="C64" s="156"/>
      <c r="D64" s="156" t="s">
        <v>1211</v>
      </c>
      <c r="E64" s="187">
        <v>9.0909090909090912E-2</v>
      </c>
      <c r="F64" s="189">
        <v>9.0909090909090912E-2</v>
      </c>
      <c r="G64" s="189">
        <v>8.3333333333333329E-2</v>
      </c>
      <c r="H64" s="189">
        <v>0.18</v>
      </c>
      <c r="I64" s="191" t="s">
        <v>1212</v>
      </c>
      <c r="J64" s="156"/>
    </row>
    <row r="65" spans="2:10" s="151" customFormat="1" ht="13.8">
      <c r="C65" s="156"/>
      <c r="D65" s="156" t="s">
        <v>1213</v>
      </c>
      <c r="E65" s="187">
        <v>5.4192349893531291E-2</v>
      </c>
      <c r="F65" s="189">
        <v>4.4409997704000351E-2</v>
      </c>
      <c r="G65" s="189">
        <v>2.73321171250504E-2</v>
      </c>
      <c r="H65" s="189">
        <v>0.04</v>
      </c>
      <c r="I65" s="156"/>
      <c r="J65" s="156"/>
    </row>
    <row r="66" spans="2:10" s="151" customFormat="1" ht="13.8">
      <c r="B66" s="157" t="s">
        <v>1214</v>
      </c>
      <c r="C66" s="157"/>
      <c r="D66" s="157"/>
      <c r="E66" s="157"/>
      <c r="F66" s="157"/>
      <c r="G66" s="157"/>
      <c r="H66" s="157"/>
      <c r="I66" s="156"/>
      <c r="J66" s="156"/>
    </row>
    <row r="67" spans="2:10" s="151" customFormat="1" ht="13.8">
      <c r="D67" s="165" t="s">
        <v>1215</v>
      </c>
      <c r="E67" s="165"/>
      <c r="F67" s="165"/>
      <c r="G67" s="165"/>
      <c r="H67" s="156"/>
      <c r="I67" s="156"/>
      <c r="J67" s="156"/>
    </row>
    <row r="68" spans="2:10" s="151" customFormat="1" ht="13.8">
      <c r="C68" s="156" t="s">
        <v>1216</v>
      </c>
      <c r="D68" s="156" t="s">
        <v>1217</v>
      </c>
      <c r="E68" s="187">
        <v>0.27</v>
      </c>
      <c r="F68" s="189">
        <v>0.24508767482895191</v>
      </c>
      <c r="G68" s="189">
        <v>0.2355134480197496</v>
      </c>
      <c r="H68" s="189">
        <v>0.15</v>
      </c>
      <c r="I68" s="156"/>
      <c r="J68" s="156"/>
    </row>
    <row r="69" spans="2:10" s="151" customFormat="1" ht="13.8">
      <c r="C69" s="156" t="s">
        <v>1216</v>
      </c>
      <c r="D69" s="156" t="s">
        <v>1218</v>
      </c>
      <c r="E69" s="187">
        <v>0.28999999999999998</v>
      </c>
      <c r="F69" s="189">
        <v>0.1818034281007514</v>
      </c>
      <c r="G69" s="189">
        <v>0.14801990244498259</v>
      </c>
      <c r="H69" s="189">
        <v>0.17</v>
      </c>
      <c r="I69" s="189"/>
      <c r="J69" s="156"/>
    </row>
    <row r="70" spans="2:10" s="151" customFormat="1" ht="13.8">
      <c r="C70" s="156"/>
      <c r="D70" s="156" t="s">
        <v>1219</v>
      </c>
      <c r="E70" s="187">
        <v>0.67</v>
      </c>
      <c r="F70" s="189">
        <v>0.68945509586276488</v>
      </c>
      <c r="G70" s="189">
        <v>0.72156013001083419</v>
      </c>
      <c r="H70" s="189">
        <v>0.72</v>
      </c>
      <c r="I70" s="156"/>
      <c r="J70" s="156"/>
    </row>
    <row r="71" spans="2:10" s="151" customFormat="1" ht="13.8">
      <c r="B71" s="192"/>
      <c r="C71" s="156" t="s">
        <v>1220</v>
      </c>
      <c r="D71" s="156" t="s">
        <v>1221</v>
      </c>
      <c r="E71" s="193">
        <v>0.72727272727272729</v>
      </c>
      <c r="F71" s="189">
        <v>0.81818181818181823</v>
      </c>
      <c r="G71" s="189">
        <v>0.89</v>
      </c>
      <c r="H71" s="189">
        <v>0.78</v>
      </c>
      <c r="I71" s="156"/>
      <c r="J71" s="156"/>
    </row>
    <row r="72" spans="2:10" s="151" customFormat="1" ht="13.8">
      <c r="B72" s="157" t="s">
        <v>1222</v>
      </c>
      <c r="C72" s="157"/>
      <c r="D72" s="157"/>
      <c r="E72" s="157"/>
      <c r="F72" s="157"/>
      <c r="G72" s="157"/>
      <c r="H72" s="157"/>
      <c r="I72" s="156"/>
      <c r="J72" s="156"/>
    </row>
    <row r="73" spans="2:10" s="151" customFormat="1" ht="13.8">
      <c r="C73" s="156" t="s">
        <v>88</v>
      </c>
      <c r="D73" s="194" t="s">
        <v>1223</v>
      </c>
      <c r="E73" s="195" t="s">
        <v>1224</v>
      </c>
      <c r="F73" s="161" t="s">
        <v>1225</v>
      </c>
      <c r="G73" s="161">
        <v>0</v>
      </c>
      <c r="H73" s="161" t="s">
        <v>1226</v>
      </c>
      <c r="I73" s="156"/>
      <c r="J73" s="156"/>
    </row>
    <row r="74" spans="2:10" s="151" customFormat="1" ht="13.8">
      <c r="C74" s="196"/>
      <c r="D74" s="156"/>
      <c r="E74" s="156"/>
      <c r="F74" s="156"/>
      <c r="G74" s="156"/>
      <c r="H74" s="156"/>
      <c r="I74" s="156"/>
      <c r="J74" s="156"/>
    </row>
    <row r="75" spans="2:10" s="151" customFormat="1" ht="13.8">
      <c r="C75" s="156" t="s">
        <v>1227</v>
      </c>
      <c r="D75" s="194" t="s">
        <v>1228</v>
      </c>
      <c r="E75" s="194">
        <v>0</v>
      </c>
      <c r="F75" s="156">
        <v>0</v>
      </c>
      <c r="G75" s="156">
        <v>0</v>
      </c>
      <c r="H75" s="156">
        <v>0</v>
      </c>
      <c r="I75" s="156"/>
      <c r="J75" s="156"/>
    </row>
    <row r="76" spans="2:10" s="151" customFormat="1" ht="13.8">
      <c r="C76" s="156" t="s">
        <v>1229</v>
      </c>
      <c r="D76" s="156"/>
      <c r="E76" s="156"/>
      <c r="F76" s="156"/>
      <c r="G76" s="156"/>
      <c r="H76" s="156"/>
      <c r="I76" s="156"/>
      <c r="J76" s="156"/>
    </row>
    <row r="77" spans="2:10" s="151" customFormat="1" ht="13.8">
      <c r="B77" s="157" t="s">
        <v>1230</v>
      </c>
      <c r="C77" s="157"/>
      <c r="D77" s="157"/>
      <c r="E77" s="157"/>
      <c r="F77" s="157"/>
      <c r="G77" s="157"/>
      <c r="H77" s="157"/>
      <c r="I77" s="156"/>
      <c r="J77" s="156"/>
    </row>
    <row r="78" spans="2:10" s="151" customFormat="1" ht="13.8">
      <c r="C78" s="156"/>
      <c r="D78" s="165" t="s">
        <v>1231</v>
      </c>
      <c r="E78" s="165"/>
      <c r="F78" s="165"/>
      <c r="G78" s="165"/>
      <c r="H78" s="156"/>
      <c r="I78" s="156"/>
      <c r="J78" s="156"/>
    </row>
    <row r="79" spans="2:10" s="151" customFormat="1" ht="13.8">
      <c r="C79" s="156" t="s">
        <v>1232</v>
      </c>
      <c r="D79" s="156" t="s">
        <v>1233</v>
      </c>
      <c r="E79" s="197">
        <v>13797594</v>
      </c>
      <c r="F79" s="169">
        <v>10114378</v>
      </c>
      <c r="G79" s="169">
        <v>9547640</v>
      </c>
      <c r="H79" s="169">
        <v>9549530</v>
      </c>
      <c r="I79" s="156"/>
      <c r="J79" s="156"/>
    </row>
    <row r="80" spans="2:10" s="151" customFormat="1" ht="13.8">
      <c r="C80" s="156" t="s">
        <v>1234</v>
      </c>
      <c r="D80" s="156" t="s">
        <v>1235</v>
      </c>
      <c r="E80" s="187">
        <v>0.13</v>
      </c>
      <c r="F80" s="189">
        <v>0.157</v>
      </c>
      <c r="G80" s="189">
        <v>0.13599455036023639</v>
      </c>
      <c r="H80" s="189">
        <v>0.14000000000000001</v>
      </c>
      <c r="I80" s="156"/>
      <c r="J80" s="156"/>
    </row>
    <row r="81" spans="2:10" ht="182.25" customHeight="1">
      <c r="B81" s="623" t="s">
        <v>1236</v>
      </c>
      <c r="C81" s="624"/>
      <c r="D81" s="624"/>
      <c r="E81" s="624"/>
      <c r="F81" s="624"/>
      <c r="G81" s="624"/>
      <c r="H81" s="624"/>
      <c r="I81" s="65"/>
      <c r="J81" s="65"/>
    </row>
  </sheetData>
  <mergeCells count="9">
    <mergeCell ref="B81:H81"/>
    <mergeCell ref="C39:C41"/>
    <mergeCell ref="C43:C45"/>
    <mergeCell ref="C56:C57"/>
    <mergeCell ref="B2:D2"/>
    <mergeCell ref="C7:C8"/>
    <mergeCell ref="C11:C13"/>
    <mergeCell ref="C16:C22"/>
    <mergeCell ref="C34:C35"/>
  </mergeCells>
  <pageMargins left="0.7" right="0.7" top="0.75" bottom="0.75" header="0.3" footer="0.3"/>
  <pageSetup scale="43"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5159-15E0-404F-A8FB-75B137930CF8}">
  <dimension ref="A2:M37"/>
  <sheetViews>
    <sheetView showGridLines="0" zoomScale="80" zoomScaleNormal="80" workbookViewId="0">
      <selection activeCell="M20" sqref="M20:M21"/>
    </sheetView>
  </sheetViews>
  <sheetFormatPr defaultColWidth="8.88671875" defaultRowHeight="14.4"/>
  <cols>
    <col min="1" max="1" width="3.6640625" style="64" customWidth="1"/>
    <col min="2" max="13" width="25.6640625" customWidth="1"/>
  </cols>
  <sheetData>
    <row r="2" spans="1:13" ht="21">
      <c r="A2" s="198"/>
      <c r="B2" s="564" t="s">
        <v>1237</v>
      </c>
      <c r="C2" s="564"/>
      <c r="D2" s="564"/>
      <c r="E2" s="564"/>
      <c r="F2" s="564"/>
      <c r="G2" s="564"/>
      <c r="H2" s="564"/>
      <c r="J2" s="107"/>
    </row>
    <row r="3" spans="1:13">
      <c r="A3" s="199"/>
      <c r="B3" s="631" t="s">
        <v>1238</v>
      </c>
      <c r="C3" s="631"/>
      <c r="D3" s="631"/>
      <c r="E3" s="631"/>
      <c r="F3" s="631"/>
      <c r="G3" s="631"/>
      <c r="H3" s="631"/>
      <c r="I3" s="631"/>
      <c r="J3" s="631"/>
      <c r="K3" s="631"/>
      <c r="L3" s="631"/>
      <c r="M3" s="631"/>
    </row>
    <row r="5" spans="1:13" ht="18">
      <c r="B5" s="19" t="s">
        <v>1239</v>
      </c>
      <c r="C5" s="17"/>
      <c r="D5" s="17"/>
      <c r="E5" s="17"/>
    </row>
    <row r="6" spans="1:13" s="18" customFormat="1">
      <c r="A6" s="200"/>
      <c r="B6" s="568" t="s">
        <v>1240</v>
      </c>
      <c r="C6" s="568"/>
      <c r="D6" s="568"/>
      <c r="E6" s="568"/>
      <c r="F6" s="568"/>
      <c r="G6" s="568"/>
      <c r="H6" s="568"/>
      <c r="I6" s="568"/>
      <c r="J6" s="568"/>
      <c r="K6" s="568"/>
    </row>
    <row r="7" spans="1:13">
      <c r="B7" s="458" t="s">
        <v>1241</v>
      </c>
    </row>
    <row r="9" spans="1:13">
      <c r="B9" s="19" t="s">
        <v>32</v>
      </c>
    </row>
    <row r="10" spans="1:13" s="18" customFormat="1">
      <c r="A10" s="200"/>
      <c r="B10" s="201" t="s">
        <v>1242</v>
      </c>
    </row>
    <row r="12" spans="1:13" s="37" customFormat="1" ht="13.8">
      <c r="A12" s="151"/>
      <c r="B12" s="207" t="s">
        <v>1243</v>
      </c>
      <c r="C12" s="208" t="s">
        <v>744</v>
      </c>
      <c r="D12" s="208" t="s">
        <v>747</v>
      </c>
      <c r="E12" s="208" t="s">
        <v>750</v>
      </c>
      <c r="F12" s="208" t="s">
        <v>703</v>
      </c>
      <c r="G12" s="208" t="s">
        <v>755</v>
      </c>
      <c r="H12" s="208" t="s">
        <v>758</v>
      </c>
      <c r="I12" s="208" t="s">
        <v>761</v>
      </c>
      <c r="J12" s="208" t="s">
        <v>1244</v>
      </c>
      <c r="K12" s="208" t="s">
        <v>768</v>
      </c>
      <c r="L12" s="208" t="s">
        <v>770</v>
      </c>
      <c r="M12" s="209" t="s">
        <v>835</v>
      </c>
    </row>
    <row r="13" spans="1:13" s="37" customFormat="1" ht="27.6">
      <c r="A13" s="151"/>
      <c r="B13" s="129" t="s">
        <v>587</v>
      </c>
      <c r="C13" s="106" t="s">
        <v>1245</v>
      </c>
      <c r="D13" s="106" t="s">
        <v>1246</v>
      </c>
      <c r="E13" s="106" t="s">
        <v>1247</v>
      </c>
      <c r="F13" s="106" t="s">
        <v>1247</v>
      </c>
      <c r="G13" s="106" t="s">
        <v>1248</v>
      </c>
      <c r="H13" s="106" t="s">
        <v>1249</v>
      </c>
      <c r="I13" s="106" t="s">
        <v>1250</v>
      </c>
      <c r="J13" s="106" t="s">
        <v>1251</v>
      </c>
      <c r="K13" s="106" t="s">
        <v>1252</v>
      </c>
      <c r="L13" s="106" t="s">
        <v>1253</v>
      </c>
      <c r="M13" s="205" t="s">
        <v>875</v>
      </c>
    </row>
    <row r="14" spans="1:13" s="37" customFormat="1" ht="13.8">
      <c r="A14" s="151"/>
      <c r="B14" s="129" t="s">
        <v>1254</v>
      </c>
      <c r="C14" s="210">
        <v>2228</v>
      </c>
      <c r="D14" s="210">
        <v>2671</v>
      </c>
      <c r="E14" s="210">
        <v>2105.1799999999998</v>
      </c>
      <c r="F14" s="210">
        <v>591</v>
      </c>
      <c r="G14" s="210">
        <v>2617</v>
      </c>
      <c r="H14" s="210">
        <v>329</v>
      </c>
      <c r="I14" s="210">
        <v>864</v>
      </c>
      <c r="J14" s="210">
        <v>15011</v>
      </c>
      <c r="K14" s="210">
        <v>11014</v>
      </c>
      <c r="L14" s="210">
        <v>1000</v>
      </c>
      <c r="M14" s="211">
        <f>SUM(Table109[[#This Row],[Greenstone]:[RDM]])</f>
        <v>38430.18</v>
      </c>
    </row>
    <row r="15" spans="1:13" s="37" customFormat="1" ht="27.6">
      <c r="A15" s="151"/>
      <c r="B15" s="129" t="s">
        <v>1255</v>
      </c>
      <c r="C15" s="130" t="s">
        <v>1256</v>
      </c>
      <c r="D15" s="130" t="s">
        <v>1256</v>
      </c>
      <c r="E15" s="130" t="s">
        <v>1256</v>
      </c>
      <c r="F15" s="130" t="s">
        <v>1256</v>
      </c>
      <c r="G15" s="130" t="s">
        <v>1256</v>
      </c>
      <c r="H15" s="130" t="s">
        <v>1256</v>
      </c>
      <c r="I15" s="130" t="s">
        <v>1256</v>
      </c>
      <c r="J15" s="130" t="s">
        <v>1256</v>
      </c>
      <c r="K15" s="130" t="s">
        <v>1256</v>
      </c>
      <c r="L15" s="130" t="s">
        <v>1256</v>
      </c>
      <c r="M15" s="205" t="s">
        <v>875</v>
      </c>
    </row>
    <row r="16" spans="1:13" s="37" customFormat="1" ht="27.6">
      <c r="A16" s="151"/>
      <c r="B16" s="129" t="s">
        <v>1257</v>
      </c>
      <c r="C16" s="205" t="s">
        <v>1258</v>
      </c>
      <c r="D16" s="205" t="s">
        <v>1258</v>
      </c>
      <c r="E16" s="205" t="s">
        <v>1258</v>
      </c>
      <c r="F16" s="205" t="s">
        <v>1258</v>
      </c>
      <c r="G16" s="205" t="s">
        <v>1258</v>
      </c>
      <c r="H16" s="205" t="s">
        <v>1259</v>
      </c>
      <c r="I16" s="205" t="s">
        <v>1259</v>
      </c>
      <c r="J16" s="205" t="s">
        <v>1258</v>
      </c>
      <c r="K16" s="205" t="s">
        <v>1259</v>
      </c>
      <c r="L16" s="205" t="s">
        <v>1259</v>
      </c>
      <c r="M16" s="212">
        <f>6/10</f>
        <v>0.6</v>
      </c>
    </row>
    <row r="17" spans="1:13" s="37" customFormat="1" ht="69">
      <c r="A17" s="151"/>
      <c r="B17" s="129" t="s">
        <v>1260</v>
      </c>
      <c r="C17" s="130" t="s">
        <v>1261</v>
      </c>
      <c r="D17" s="130" t="s">
        <v>1262</v>
      </c>
      <c r="E17" s="130" t="s">
        <v>1263</v>
      </c>
      <c r="F17" s="130" t="s">
        <v>1264</v>
      </c>
      <c r="G17" s="130" t="s">
        <v>1265</v>
      </c>
      <c r="H17" s="205" t="s">
        <v>875</v>
      </c>
      <c r="I17" s="205" t="s">
        <v>875</v>
      </c>
      <c r="J17" s="130" t="s">
        <v>1266</v>
      </c>
      <c r="K17" s="205" t="s">
        <v>875</v>
      </c>
      <c r="L17" s="130" t="s">
        <v>1267</v>
      </c>
      <c r="M17" s="205" t="s">
        <v>875</v>
      </c>
    </row>
    <row r="18" spans="1:13" s="37" customFormat="1" ht="41.4">
      <c r="A18" s="151"/>
      <c r="B18" s="129" t="s">
        <v>1268</v>
      </c>
      <c r="C18" s="130" t="s">
        <v>1269</v>
      </c>
      <c r="D18" s="130" t="s">
        <v>1270</v>
      </c>
      <c r="E18" s="130" t="s">
        <v>1271</v>
      </c>
      <c r="F18" s="130" t="s">
        <v>1271</v>
      </c>
      <c r="G18" s="130" t="s">
        <v>1271</v>
      </c>
      <c r="H18" s="130" t="s">
        <v>1272</v>
      </c>
      <c r="I18" s="130"/>
      <c r="J18" s="130" t="s">
        <v>1273</v>
      </c>
      <c r="K18" s="206" t="s">
        <v>1272</v>
      </c>
      <c r="L18" s="130" t="s">
        <v>1272</v>
      </c>
      <c r="M18" s="205" t="s">
        <v>875</v>
      </c>
    </row>
    <row r="19" spans="1:13" s="37" customFormat="1" ht="41.4">
      <c r="A19" s="151"/>
      <c r="B19" s="129" t="s">
        <v>1274</v>
      </c>
      <c r="C19" s="213">
        <v>1</v>
      </c>
      <c r="D19" s="213">
        <v>0</v>
      </c>
      <c r="E19" s="213">
        <v>0</v>
      </c>
      <c r="F19" s="213">
        <v>12</v>
      </c>
      <c r="G19" s="213">
        <v>5</v>
      </c>
      <c r="H19" s="213" t="s">
        <v>875</v>
      </c>
      <c r="I19" s="213" t="s">
        <v>875</v>
      </c>
      <c r="J19" s="213">
        <v>0.96399999999999997</v>
      </c>
      <c r="K19" s="213" t="s">
        <v>875</v>
      </c>
      <c r="L19" s="214" t="s">
        <v>875</v>
      </c>
      <c r="M19" s="205" t="s">
        <v>875</v>
      </c>
    </row>
    <row r="20" spans="1:13" s="37" customFormat="1" ht="69">
      <c r="A20" s="151"/>
      <c r="B20" s="286" t="s">
        <v>1275</v>
      </c>
      <c r="C20" s="215">
        <v>1</v>
      </c>
      <c r="D20" s="215">
        <v>0</v>
      </c>
      <c r="E20" s="215">
        <v>1</v>
      </c>
      <c r="F20" s="215">
        <v>1</v>
      </c>
      <c r="G20" s="215">
        <v>1</v>
      </c>
      <c r="H20" s="215">
        <v>0</v>
      </c>
      <c r="I20" s="215">
        <v>0</v>
      </c>
      <c r="J20" s="215">
        <v>1</v>
      </c>
      <c r="K20" s="215">
        <v>0</v>
      </c>
      <c r="L20" s="215">
        <v>0</v>
      </c>
      <c r="M20" s="215">
        <v>0.51</v>
      </c>
    </row>
    <row r="21" spans="1:13" s="37" customFormat="1" ht="69">
      <c r="A21" s="151"/>
      <c r="B21" s="102" t="s">
        <v>1276</v>
      </c>
      <c r="C21" s="215">
        <v>1</v>
      </c>
      <c r="D21" s="215">
        <v>0</v>
      </c>
      <c r="E21" s="215">
        <v>1</v>
      </c>
      <c r="F21" s="215">
        <v>1</v>
      </c>
      <c r="G21" s="215">
        <v>1</v>
      </c>
      <c r="H21" s="215">
        <v>0</v>
      </c>
      <c r="I21" s="215">
        <v>0</v>
      </c>
      <c r="J21" s="215">
        <v>1</v>
      </c>
      <c r="K21" s="215">
        <v>0</v>
      </c>
      <c r="L21" s="215">
        <v>0</v>
      </c>
      <c r="M21" s="215">
        <v>0.51</v>
      </c>
    </row>
    <row r="22" spans="1:13" s="37" customFormat="1" ht="97.5" customHeight="1">
      <c r="A22" s="151"/>
      <c r="B22" s="566" t="s">
        <v>1277</v>
      </c>
      <c r="C22" s="566"/>
      <c r="D22" s="566"/>
      <c r="E22" s="566"/>
      <c r="F22" s="566"/>
      <c r="G22" s="566"/>
      <c r="H22" s="566"/>
      <c r="I22" s="566"/>
      <c r="J22" s="566"/>
      <c r="K22" s="566"/>
      <c r="L22" s="566"/>
      <c r="M22" s="566"/>
    </row>
    <row r="24" spans="1:13">
      <c r="B24" s="19" t="s">
        <v>1278</v>
      </c>
    </row>
    <row r="25" spans="1:13" s="18" customFormat="1">
      <c r="A25" s="200"/>
      <c r="B25" s="201" t="s">
        <v>1279</v>
      </c>
    </row>
    <row r="27" spans="1:13" s="43" customFormat="1" ht="27.6">
      <c r="A27" s="111"/>
      <c r="B27" s="122" t="s">
        <v>1280</v>
      </c>
      <c r="C27" s="227" t="s">
        <v>744</v>
      </c>
      <c r="D27" s="227" t="s">
        <v>747</v>
      </c>
      <c r="E27" s="227" t="s">
        <v>750</v>
      </c>
      <c r="F27" s="227" t="s">
        <v>703</v>
      </c>
      <c r="G27" s="227" t="s">
        <v>755</v>
      </c>
      <c r="H27" s="227" t="s">
        <v>758</v>
      </c>
      <c r="I27" s="227" t="s">
        <v>761</v>
      </c>
      <c r="J27" s="231" t="s">
        <v>765</v>
      </c>
      <c r="K27" s="231" t="s">
        <v>1281</v>
      </c>
      <c r="L27" s="231" t="s">
        <v>770</v>
      </c>
      <c r="M27" s="231" t="s">
        <v>835</v>
      </c>
    </row>
    <row r="28" spans="1:13" ht="27.6">
      <c r="B28" s="102" t="s">
        <v>1282</v>
      </c>
      <c r="C28" s="242" t="s">
        <v>1258</v>
      </c>
      <c r="D28" s="242" t="s">
        <v>1258</v>
      </c>
      <c r="E28" s="242" t="s">
        <v>1258</v>
      </c>
      <c r="F28" s="242" t="s">
        <v>1258</v>
      </c>
      <c r="G28" s="242" t="s">
        <v>1258</v>
      </c>
      <c r="H28" s="242" t="s">
        <v>1258</v>
      </c>
      <c r="I28" s="242" t="s">
        <v>1258</v>
      </c>
      <c r="J28" s="242" t="s">
        <v>1258</v>
      </c>
      <c r="K28" s="242" t="s">
        <v>1258</v>
      </c>
      <c r="L28" s="242" t="s">
        <v>1258</v>
      </c>
      <c r="M28" s="243">
        <v>1</v>
      </c>
    </row>
    <row r="29" spans="1:13" ht="15" customHeight="1">
      <c r="B29" s="102" t="s">
        <v>1283</v>
      </c>
      <c r="C29" s="242" t="s">
        <v>1258</v>
      </c>
      <c r="D29" s="242" t="s">
        <v>1258</v>
      </c>
      <c r="E29" s="242" t="s">
        <v>1258</v>
      </c>
      <c r="F29" s="242" t="s">
        <v>1258</v>
      </c>
      <c r="G29" s="242" t="s">
        <v>1258</v>
      </c>
      <c r="H29" s="242" t="s">
        <v>1258</v>
      </c>
      <c r="I29" s="242" t="s">
        <v>1258</v>
      </c>
      <c r="J29" s="242" t="s">
        <v>1258</v>
      </c>
      <c r="K29" s="242" t="s">
        <v>1258</v>
      </c>
      <c r="L29" s="242" t="s">
        <v>1258</v>
      </c>
      <c r="M29" s="243">
        <v>1</v>
      </c>
    </row>
    <row r="30" spans="1:13" ht="27.6">
      <c r="B30" s="102" t="s">
        <v>1284</v>
      </c>
      <c r="C30" s="242" t="s">
        <v>1258</v>
      </c>
      <c r="D30" s="242" t="s">
        <v>1258</v>
      </c>
      <c r="E30" s="242" t="s">
        <v>1258</v>
      </c>
      <c r="F30" s="242" t="s">
        <v>1258</v>
      </c>
      <c r="G30" s="242" t="s">
        <v>1258</v>
      </c>
      <c r="H30" s="242" t="s">
        <v>1258</v>
      </c>
      <c r="I30" s="242" t="s">
        <v>1258</v>
      </c>
      <c r="J30" s="242" t="s">
        <v>1258</v>
      </c>
      <c r="K30" s="242" t="s">
        <v>1258</v>
      </c>
      <c r="L30" s="242" t="s">
        <v>1258</v>
      </c>
      <c r="M30" s="243">
        <v>1</v>
      </c>
    </row>
    <row r="31" spans="1:13" ht="27.6">
      <c r="B31" s="102" t="s">
        <v>1285</v>
      </c>
      <c r="C31" s="242">
        <v>2025</v>
      </c>
      <c r="D31" s="242">
        <v>2024</v>
      </c>
      <c r="E31" s="242">
        <v>2024</v>
      </c>
      <c r="F31" s="242">
        <v>2024</v>
      </c>
      <c r="G31" s="242">
        <v>2025</v>
      </c>
      <c r="H31" s="242">
        <v>2024</v>
      </c>
      <c r="I31" s="242">
        <v>2019</v>
      </c>
      <c r="J31" s="242">
        <v>2025</v>
      </c>
      <c r="K31" s="242">
        <v>2025</v>
      </c>
      <c r="L31" s="242">
        <v>2021</v>
      </c>
      <c r="M31" s="242" t="s">
        <v>875</v>
      </c>
    </row>
    <row r="32" spans="1:13" ht="41.4">
      <c r="B32" s="102" t="s">
        <v>1286</v>
      </c>
      <c r="C32" s="242" t="s">
        <v>1259</v>
      </c>
      <c r="D32" s="242" t="s">
        <v>1259</v>
      </c>
      <c r="E32" s="242" t="s">
        <v>1259</v>
      </c>
      <c r="F32" s="242" t="s">
        <v>1259</v>
      </c>
      <c r="G32" s="242" t="s">
        <v>1258</v>
      </c>
      <c r="H32" s="242" t="s">
        <v>1258</v>
      </c>
      <c r="I32" s="242" t="s">
        <v>1258</v>
      </c>
      <c r="J32" s="242" t="s">
        <v>1258</v>
      </c>
      <c r="K32" s="242" t="s">
        <v>1259</v>
      </c>
      <c r="L32" s="242" t="s">
        <v>1259</v>
      </c>
      <c r="M32" s="243">
        <v>0.4</v>
      </c>
    </row>
    <row r="33" spans="2:13" ht="27.6">
      <c r="B33" s="102" t="s">
        <v>1287</v>
      </c>
      <c r="C33" s="242" t="s">
        <v>1259</v>
      </c>
      <c r="D33" s="242" t="s">
        <v>1259</v>
      </c>
      <c r="E33" s="242" t="s">
        <v>1259</v>
      </c>
      <c r="F33" s="242" t="s">
        <v>1259</v>
      </c>
      <c r="G33" s="242" t="s">
        <v>1259</v>
      </c>
      <c r="H33" s="242" t="s">
        <v>1259</v>
      </c>
      <c r="I33" s="242" t="s">
        <v>1259</v>
      </c>
      <c r="J33" s="242" t="s">
        <v>1259</v>
      </c>
      <c r="K33" s="242" t="s">
        <v>1259</v>
      </c>
      <c r="L33" s="242" t="s">
        <v>1259</v>
      </c>
      <c r="M33" s="243">
        <v>0</v>
      </c>
    </row>
    <row r="34" spans="2:13" ht="41.4">
      <c r="B34" s="102" t="s">
        <v>1288</v>
      </c>
      <c r="C34" s="242">
        <v>20</v>
      </c>
      <c r="D34" s="242">
        <v>32</v>
      </c>
      <c r="E34" s="242">
        <v>0</v>
      </c>
      <c r="F34" s="242">
        <v>0</v>
      </c>
      <c r="G34" s="242">
        <v>0</v>
      </c>
      <c r="H34" s="242">
        <v>114</v>
      </c>
      <c r="I34" s="242">
        <v>41</v>
      </c>
      <c r="J34" s="242">
        <v>51</v>
      </c>
      <c r="K34" s="461">
        <v>169.08469999999994</v>
      </c>
      <c r="L34" s="242">
        <v>21</v>
      </c>
      <c r="M34" s="461">
        <f>SUM(Table4447[[#This Row],[Greenstone]:[RDM]])</f>
        <v>448.08469999999994</v>
      </c>
    </row>
    <row r="35" spans="2:13" ht="27.6">
      <c r="B35" s="102" t="s">
        <v>1289</v>
      </c>
      <c r="C35" s="242">
        <v>0</v>
      </c>
      <c r="D35" s="242">
        <v>0</v>
      </c>
      <c r="E35" s="242">
        <v>0</v>
      </c>
      <c r="F35" s="242">
        <v>0</v>
      </c>
      <c r="G35" s="242">
        <v>0</v>
      </c>
      <c r="H35" s="242">
        <v>6</v>
      </c>
      <c r="I35" s="242">
        <v>10</v>
      </c>
      <c r="J35" s="242">
        <v>7.66</v>
      </c>
      <c r="K35" s="242">
        <v>0</v>
      </c>
      <c r="L35" s="461">
        <v>16</v>
      </c>
      <c r="M35" s="460">
        <v>39.660000000000004</v>
      </c>
    </row>
    <row r="36" spans="2:13">
      <c r="B36" s="102" t="s">
        <v>1290</v>
      </c>
      <c r="C36" s="242">
        <v>0</v>
      </c>
      <c r="D36" s="242">
        <v>0</v>
      </c>
      <c r="E36" s="242">
        <v>0</v>
      </c>
      <c r="F36" s="242">
        <v>0</v>
      </c>
      <c r="G36" s="242">
        <v>0</v>
      </c>
      <c r="H36" s="462">
        <v>35500</v>
      </c>
      <c r="I36" s="462">
        <v>78191</v>
      </c>
      <c r="J36" s="462">
        <v>1283</v>
      </c>
      <c r="K36" s="462">
        <v>1864</v>
      </c>
      <c r="L36" s="462">
        <v>930</v>
      </c>
      <c r="M36" s="462">
        <v>117768</v>
      </c>
    </row>
    <row r="37" spans="2:13" ht="43.5" customHeight="1">
      <c r="B37" s="566" t="s">
        <v>1291</v>
      </c>
      <c r="C37" s="630"/>
      <c r="D37" s="630"/>
      <c r="E37" s="630"/>
      <c r="F37" s="630"/>
      <c r="G37" s="630"/>
      <c r="H37" s="630"/>
      <c r="I37" s="630"/>
      <c r="J37" s="630"/>
      <c r="K37" s="630"/>
      <c r="L37" s="630"/>
      <c r="M37" s="630"/>
    </row>
  </sheetData>
  <mergeCells count="5">
    <mergeCell ref="B37:M37"/>
    <mergeCell ref="B22:M22"/>
    <mergeCell ref="B2:H2"/>
    <mergeCell ref="B6:K6"/>
    <mergeCell ref="B3:M3"/>
  </mergeCells>
  <hyperlinks>
    <hyperlink ref="B7" r:id="rId1" xr:uid="{80CD1E5E-F0C9-465A-A7F3-E534AE433E8F}"/>
  </hyperlinks>
  <pageMargins left="0.7" right="0.7" top="0.75" bottom="0.75" header="0.3" footer="0.3"/>
  <pageSetup orientation="portrait" r:id="rId2"/>
  <drawing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05308-07D6-4EC4-B84C-12B94450B43B}">
  <dimension ref="A2:L63"/>
  <sheetViews>
    <sheetView showGridLines="0" zoomScale="90" zoomScaleNormal="90" workbookViewId="0">
      <selection activeCell="B15" sqref="B15"/>
    </sheetView>
  </sheetViews>
  <sheetFormatPr defaultColWidth="8.88671875" defaultRowHeight="14.4"/>
  <cols>
    <col min="1" max="1" width="4.109375" customWidth="1"/>
    <col min="2" max="2" width="27.44140625" customWidth="1"/>
    <col min="3" max="8" width="25.6640625" customWidth="1"/>
    <col min="9" max="9" width="12.44140625" customWidth="1"/>
    <col min="10" max="10" width="18.44140625" customWidth="1"/>
    <col min="11" max="11" width="10.109375" customWidth="1"/>
    <col min="13" max="13" width="11.109375" customWidth="1"/>
  </cols>
  <sheetData>
    <row r="2" spans="1:11" ht="21">
      <c r="A2" s="222"/>
      <c r="B2" s="33" t="s">
        <v>1292</v>
      </c>
      <c r="C2" s="33"/>
      <c r="D2" s="33"/>
      <c r="E2" s="33"/>
      <c r="F2" s="33"/>
      <c r="G2" s="107"/>
    </row>
    <row r="3" spans="1:11" ht="33" customHeight="1">
      <c r="A3" s="221"/>
      <c r="B3" s="632" t="s">
        <v>1238</v>
      </c>
      <c r="C3" s="632"/>
      <c r="D3" s="632"/>
      <c r="E3" s="632"/>
      <c r="F3" s="632"/>
      <c r="G3" s="632"/>
    </row>
    <row r="5" spans="1:11" ht="18">
      <c r="B5" s="19" t="s">
        <v>1239</v>
      </c>
      <c r="C5" s="17"/>
      <c r="D5" s="17"/>
      <c r="E5" s="17"/>
    </row>
    <row r="6" spans="1:11" s="18" customFormat="1">
      <c r="A6" s="13"/>
      <c r="B6" s="568" t="s">
        <v>1293</v>
      </c>
      <c r="C6" s="568"/>
      <c r="D6" s="568"/>
      <c r="E6" s="568"/>
      <c r="F6" s="568"/>
      <c r="G6" s="568"/>
      <c r="H6" s="568"/>
      <c r="I6" s="568"/>
      <c r="J6" s="568"/>
      <c r="K6" s="568"/>
    </row>
    <row r="7" spans="1:11">
      <c r="B7" s="458" t="s">
        <v>1294</v>
      </c>
    </row>
    <row r="9" spans="1:11" s="1" customFormat="1">
      <c r="B9" s="19" t="s">
        <v>1295</v>
      </c>
    </row>
    <row r="10" spans="1:11" s="20" customFormat="1">
      <c r="A10"/>
      <c r="B10" s="201" t="s">
        <v>1296</v>
      </c>
      <c r="C10" s="18"/>
      <c r="D10" s="23"/>
      <c r="E10" s="23"/>
      <c r="F10" s="23"/>
    </row>
    <row r="12" spans="1:11" ht="27.6">
      <c r="B12" s="122" t="s">
        <v>1297</v>
      </c>
      <c r="C12" s="72" t="s">
        <v>835</v>
      </c>
    </row>
    <row r="13" spans="1:11" ht="15.75" customHeight="1">
      <c r="B13" s="261" t="s">
        <v>1298</v>
      </c>
      <c r="C13" s="562">
        <v>66</v>
      </c>
    </row>
    <row r="14" spans="1:11">
      <c r="B14" s="230" t="s">
        <v>1299</v>
      </c>
      <c r="C14" s="562">
        <v>2</v>
      </c>
    </row>
    <row r="15" spans="1:11" ht="27.75" customHeight="1">
      <c r="B15" s="230" t="s">
        <v>1300</v>
      </c>
      <c r="C15" s="562">
        <v>15</v>
      </c>
    </row>
    <row r="16" spans="1:11" ht="27.6">
      <c r="B16" s="230" t="s">
        <v>1301</v>
      </c>
      <c r="C16" s="562">
        <v>6</v>
      </c>
    </row>
    <row r="17" spans="1:3" ht="27.6">
      <c r="B17" s="230" t="s">
        <v>1302</v>
      </c>
      <c r="C17" s="562">
        <v>20</v>
      </c>
    </row>
    <row r="18" spans="1:3">
      <c r="B18" s="229" t="s">
        <v>805</v>
      </c>
      <c r="C18" s="562" t="s">
        <v>1303</v>
      </c>
    </row>
    <row r="20" spans="1:3">
      <c r="B20" s="19" t="s">
        <v>39</v>
      </c>
    </row>
    <row r="21" spans="1:3" s="18" customFormat="1">
      <c r="A21" s="13"/>
      <c r="B21" s="201" t="s">
        <v>1304</v>
      </c>
    </row>
    <row r="23" spans="1:3" ht="27.6">
      <c r="B23" s="223" t="s">
        <v>1305</v>
      </c>
      <c r="C23" s="122" t="s">
        <v>835</v>
      </c>
    </row>
    <row r="24" spans="1:3" ht="41.4">
      <c r="B24" s="224" t="s">
        <v>1306</v>
      </c>
      <c r="C24" s="463">
        <v>0</v>
      </c>
    </row>
    <row r="25" spans="1:3" ht="55.2">
      <c r="B25" s="224" t="s">
        <v>1307</v>
      </c>
      <c r="C25" s="464">
        <v>0</v>
      </c>
    </row>
    <row r="26" spans="1:3" ht="69">
      <c r="B26" s="225" t="s">
        <v>1308</v>
      </c>
      <c r="C26" s="465">
        <v>0</v>
      </c>
    </row>
    <row r="27" spans="1:3" ht="72" hidden="1">
      <c r="B27" s="115" t="s">
        <v>1309</v>
      </c>
      <c r="C27" s="12"/>
    </row>
    <row r="28" spans="1:3" ht="72" hidden="1">
      <c r="B28" s="115" t="s">
        <v>1310</v>
      </c>
      <c r="C28" s="11"/>
    </row>
    <row r="29" spans="1:3" ht="86.4" hidden="1">
      <c r="B29" s="115" t="s">
        <v>1311</v>
      </c>
      <c r="C29" s="12"/>
    </row>
    <row r="30" spans="1:3" ht="72" hidden="1">
      <c r="B30" s="115" t="s">
        <v>1312</v>
      </c>
      <c r="C30" s="11"/>
    </row>
    <row r="31" spans="1:3" ht="86.4" hidden="1">
      <c r="B31" s="115" t="s">
        <v>1313</v>
      </c>
      <c r="C31" s="12"/>
    </row>
    <row r="32" spans="1:3" ht="72" hidden="1">
      <c r="B32" s="115" t="s">
        <v>1314</v>
      </c>
      <c r="C32" s="11"/>
    </row>
    <row r="33" spans="1:3" ht="28.8" hidden="1">
      <c r="B33" s="114" t="s">
        <v>1315</v>
      </c>
      <c r="C33" s="11"/>
    </row>
    <row r="34" spans="1:3" ht="122.25" customHeight="1">
      <c r="B34" s="633" t="s">
        <v>1316</v>
      </c>
      <c r="C34" s="633"/>
    </row>
    <row r="36" spans="1:3">
      <c r="B36" s="19" t="s">
        <v>41</v>
      </c>
    </row>
    <row r="37" spans="1:3" s="18" customFormat="1">
      <c r="A37" s="13"/>
      <c r="B37" s="201" t="s">
        <v>1317</v>
      </c>
    </row>
    <row r="39" spans="1:3" ht="27.6">
      <c r="B39" s="122" t="s">
        <v>1318</v>
      </c>
      <c r="C39" s="231" t="s">
        <v>835</v>
      </c>
    </row>
    <row r="40" spans="1:3" ht="28.5" customHeight="1">
      <c r="B40" s="129" t="s">
        <v>1319</v>
      </c>
      <c r="C40" s="271">
        <v>4</v>
      </c>
    </row>
    <row r="41" spans="1:3" ht="41.4">
      <c r="B41" s="129" t="s">
        <v>1320</v>
      </c>
      <c r="C41" s="272">
        <f>C40/10</f>
        <v>0.4</v>
      </c>
    </row>
    <row r="42" spans="1:3" ht="41.4">
      <c r="B42" s="129" t="s">
        <v>1321</v>
      </c>
      <c r="C42" s="271" t="s">
        <v>1322</v>
      </c>
    </row>
    <row r="43" spans="1:3" ht="85.5" customHeight="1">
      <c r="B43" s="566" t="s">
        <v>1323</v>
      </c>
      <c r="C43" s="566"/>
    </row>
    <row r="45" spans="1:3">
      <c r="B45" s="19" t="s">
        <v>43</v>
      </c>
    </row>
    <row r="46" spans="1:3" s="18" customFormat="1">
      <c r="A46" s="13"/>
      <c r="B46" s="201" t="s">
        <v>1324</v>
      </c>
    </row>
    <row r="48" spans="1:3" ht="41.4">
      <c r="B48" s="122" t="s">
        <v>1325</v>
      </c>
      <c r="C48" s="231" t="s">
        <v>835</v>
      </c>
    </row>
    <row r="49" spans="1:12" ht="27.6">
      <c r="B49" s="102" t="s">
        <v>1326</v>
      </c>
      <c r="C49" s="466">
        <v>2</v>
      </c>
    </row>
    <row r="50" spans="1:12" ht="27.6">
      <c r="B50" s="102" t="s">
        <v>1327</v>
      </c>
      <c r="C50" s="466" t="s">
        <v>875</v>
      </c>
    </row>
    <row r="51" spans="1:12" ht="55.2">
      <c r="B51" s="102" t="s">
        <v>1328</v>
      </c>
      <c r="C51" s="466">
        <v>2</v>
      </c>
    </row>
    <row r="52" spans="1:12" ht="67.5" customHeight="1">
      <c r="B52" s="102" t="s">
        <v>1329</v>
      </c>
      <c r="C52" s="466">
        <v>0</v>
      </c>
    </row>
    <row r="53" spans="1:12" ht="69">
      <c r="B53" s="102" t="s">
        <v>1330</v>
      </c>
      <c r="C53" s="466">
        <v>0</v>
      </c>
    </row>
    <row r="54" spans="1:12" ht="89.25" customHeight="1">
      <c r="B54" s="566" t="s">
        <v>1331</v>
      </c>
      <c r="C54" s="566"/>
      <c r="D54" s="26"/>
      <c r="E54" s="26"/>
      <c r="F54" s="26"/>
      <c r="G54" s="26"/>
      <c r="H54" s="26"/>
      <c r="I54" s="26"/>
      <c r="J54" s="26"/>
      <c r="K54" s="26"/>
      <c r="L54" s="26"/>
    </row>
    <row r="55" spans="1:12">
      <c r="B55" s="21"/>
      <c r="C55" s="21"/>
      <c r="D55" s="21"/>
      <c r="E55" s="21"/>
      <c r="F55" s="21"/>
      <c r="G55" s="21"/>
      <c r="H55" s="21"/>
      <c r="I55" s="21"/>
      <c r="J55" s="21"/>
      <c r="K55" s="21"/>
    </row>
    <row r="56" spans="1:12">
      <c r="B56" s="19" t="s">
        <v>45</v>
      </c>
    </row>
    <row r="57" spans="1:12" s="18" customFormat="1">
      <c r="A57" s="13"/>
      <c r="B57" s="201" t="s">
        <v>1332</v>
      </c>
    </row>
    <row r="59" spans="1:12" ht="41.4">
      <c r="B59" s="123" t="s">
        <v>1333</v>
      </c>
      <c r="C59" s="232" t="s">
        <v>693</v>
      </c>
      <c r="D59" s="233" t="s">
        <v>701</v>
      </c>
      <c r="E59" s="232" t="s">
        <v>710</v>
      </c>
      <c r="F59" s="232" t="s">
        <v>713</v>
      </c>
      <c r="G59" s="232" t="s">
        <v>705</v>
      </c>
    </row>
    <row r="60" spans="1:12">
      <c r="B60" s="129" t="s">
        <v>1334</v>
      </c>
      <c r="C60" s="205" t="s">
        <v>1335</v>
      </c>
      <c r="D60" s="205" t="s">
        <v>1336</v>
      </c>
      <c r="E60" s="205" t="s">
        <v>755</v>
      </c>
      <c r="F60" s="205" t="s">
        <v>1337</v>
      </c>
      <c r="G60" s="205" t="s">
        <v>1338</v>
      </c>
    </row>
    <row r="61" spans="1:12" ht="49.5" customHeight="1">
      <c r="B61" s="129" t="s">
        <v>1339</v>
      </c>
      <c r="C61" s="205" t="s">
        <v>1340</v>
      </c>
      <c r="D61" s="205" t="s">
        <v>1341</v>
      </c>
      <c r="E61" s="205" t="s">
        <v>1342</v>
      </c>
      <c r="F61" s="205" t="s">
        <v>1343</v>
      </c>
      <c r="G61" s="205" t="s">
        <v>1344</v>
      </c>
    </row>
    <row r="62" spans="1:12" ht="75.75" customHeight="1">
      <c r="B62" s="230" t="s">
        <v>1345</v>
      </c>
      <c r="C62" s="205">
        <v>0</v>
      </c>
      <c r="D62" s="205">
        <v>0</v>
      </c>
      <c r="E62" s="205">
        <v>0</v>
      </c>
      <c r="F62" s="467">
        <v>262025</v>
      </c>
      <c r="G62" s="205">
        <v>0</v>
      </c>
    </row>
    <row r="63" spans="1:12" ht="18.75" customHeight="1">
      <c r="B63" s="602" t="s">
        <v>1346</v>
      </c>
      <c r="C63" s="602"/>
      <c r="D63" s="602"/>
      <c r="E63" s="602"/>
      <c r="F63" s="602"/>
      <c r="G63" s="602"/>
    </row>
  </sheetData>
  <mergeCells count="6">
    <mergeCell ref="B3:G3"/>
    <mergeCell ref="B63:G63"/>
    <mergeCell ref="B6:K6"/>
    <mergeCell ref="B54:C54"/>
    <mergeCell ref="B34:C34"/>
    <mergeCell ref="B43:C43"/>
  </mergeCells>
  <phoneticPr fontId="11" type="noConversion"/>
  <hyperlinks>
    <hyperlink ref="B7" r:id="rId1" xr:uid="{94DDA6D7-06C7-4E63-9F55-72D78E88B4D6}"/>
  </hyperlinks>
  <pageMargins left="0.7" right="0.7" top="0.75" bottom="0.75" header="0.3" footer="0.3"/>
  <drawing r:id="rId2"/>
  <tableParts count="5">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08DA-FF5C-4885-B88B-B7218ECEEB8D}">
  <dimension ref="A2:O69"/>
  <sheetViews>
    <sheetView showGridLines="0" topLeftCell="A3" zoomScale="80" zoomScaleNormal="80" workbookViewId="0">
      <selection activeCell="H71" sqref="H71"/>
    </sheetView>
  </sheetViews>
  <sheetFormatPr defaultColWidth="8.88671875" defaultRowHeight="14.4"/>
  <cols>
    <col min="1" max="1" width="3.6640625" customWidth="1"/>
    <col min="2" max="13" width="25.6640625" customWidth="1"/>
    <col min="14" max="14" width="16.33203125" customWidth="1"/>
    <col min="15" max="15" width="46.109375" customWidth="1"/>
  </cols>
  <sheetData>
    <row r="2" spans="1:13" ht="21">
      <c r="A2" s="222"/>
      <c r="B2" s="564" t="s">
        <v>1347</v>
      </c>
      <c r="C2" s="564"/>
      <c r="D2" s="564"/>
      <c r="E2" s="564"/>
      <c r="F2" s="564"/>
      <c r="G2" s="564"/>
      <c r="H2" s="564"/>
      <c r="I2" s="107"/>
    </row>
    <row r="3" spans="1:13">
      <c r="A3" s="221"/>
      <c r="B3" s="631" t="s">
        <v>1238</v>
      </c>
      <c r="C3" s="631"/>
      <c r="D3" s="631"/>
      <c r="E3" s="631"/>
      <c r="F3" s="631"/>
      <c r="G3" s="631"/>
      <c r="H3" s="631"/>
      <c r="I3" s="631"/>
      <c r="J3" s="631"/>
      <c r="K3" s="631"/>
      <c r="L3" s="234"/>
      <c r="M3" s="234"/>
    </row>
    <row r="5" spans="1:13" ht="18">
      <c r="B5" s="19" t="s">
        <v>1239</v>
      </c>
      <c r="C5" s="17"/>
      <c r="D5" s="17"/>
      <c r="E5" s="17"/>
    </row>
    <row r="6" spans="1:13" s="18" customFormat="1">
      <c r="A6" s="13"/>
      <c r="B6" s="568" t="s">
        <v>1348</v>
      </c>
      <c r="C6" s="568"/>
      <c r="D6" s="568"/>
      <c r="E6" s="568"/>
      <c r="F6" s="568"/>
      <c r="G6" s="568"/>
      <c r="H6" s="568"/>
      <c r="I6" s="568"/>
      <c r="J6" s="568"/>
      <c r="K6" s="568"/>
    </row>
    <row r="7" spans="1:13">
      <c r="B7" s="458" t="s">
        <v>1349</v>
      </c>
    </row>
    <row r="9" spans="1:13">
      <c r="B9" s="19" t="s">
        <v>48</v>
      </c>
    </row>
    <row r="10" spans="1:13" s="18" customFormat="1">
      <c r="A10" s="13"/>
      <c r="B10" s="201" t="s">
        <v>1350</v>
      </c>
    </row>
    <row r="12" spans="1:13" ht="27.6">
      <c r="B12" s="122" t="s">
        <v>1351</v>
      </c>
      <c r="C12" s="231" t="s">
        <v>935</v>
      </c>
      <c r="D12" s="231" t="s">
        <v>1352</v>
      </c>
    </row>
    <row r="13" spans="1:13" s="6" customFormat="1" ht="13.5" customHeight="1">
      <c r="B13" s="240" t="s">
        <v>1353</v>
      </c>
      <c r="C13" s="237">
        <v>10813024.440144023</v>
      </c>
      <c r="D13" s="220">
        <v>0.89991979088830998</v>
      </c>
      <c r="E13" s="48"/>
      <c r="F13" s="48"/>
      <c r="G13" s="47"/>
    </row>
    <row r="14" spans="1:13" s="6" customFormat="1">
      <c r="B14" s="240" t="s">
        <v>1354</v>
      </c>
      <c r="C14" s="237">
        <v>1202518</v>
      </c>
      <c r="D14" s="220">
        <v>0.10008020911169002</v>
      </c>
      <c r="E14" s="48"/>
      <c r="F14" s="48"/>
      <c r="G14" s="47"/>
    </row>
    <row r="15" spans="1:13" s="6" customFormat="1">
      <c r="B15" s="236" t="s">
        <v>805</v>
      </c>
      <c r="C15" s="238">
        <f>SUBTOTAL(109,Table33[GJ])</f>
        <v>12015542.440144023</v>
      </c>
      <c r="D15" s="239">
        <f>SUBTOTAL(109,Table33[%])</f>
        <v>1</v>
      </c>
      <c r="E15" s="48"/>
      <c r="F15" s="48"/>
      <c r="G15" s="47"/>
    </row>
    <row r="16" spans="1:13" ht="166.5" customHeight="1">
      <c r="B16" s="566" t="s">
        <v>1355</v>
      </c>
      <c r="C16" s="566"/>
      <c r="D16" s="566"/>
      <c r="E16" s="28"/>
      <c r="F16" s="49"/>
      <c r="G16" s="4"/>
    </row>
    <row r="17" spans="1:6">
      <c r="C17" s="28"/>
      <c r="D17" s="28"/>
      <c r="E17" s="15"/>
      <c r="F17" s="454"/>
    </row>
    <row r="18" spans="1:6" ht="41.4">
      <c r="B18" s="122" t="s">
        <v>1356</v>
      </c>
      <c r="C18" s="231" t="s">
        <v>1357</v>
      </c>
      <c r="D18" s="28"/>
      <c r="E18" s="15"/>
      <c r="F18" s="29"/>
    </row>
    <row r="19" spans="1:6" ht="27.6">
      <c r="B19" s="261" t="s">
        <v>1358</v>
      </c>
      <c r="C19" s="269">
        <v>2512845.2979957717</v>
      </c>
      <c r="D19" s="28"/>
      <c r="E19" s="453"/>
      <c r="F19" s="29"/>
    </row>
    <row r="20" spans="1:6" ht="27.6">
      <c r="B20" s="261" t="s">
        <v>1359</v>
      </c>
      <c r="C20" s="269">
        <v>2259.7717999999995</v>
      </c>
      <c r="D20" s="28"/>
      <c r="E20" s="15"/>
      <c r="F20" s="29"/>
    </row>
    <row r="21" spans="1:6" ht="29.25" customHeight="1">
      <c r="B21" s="566" t="s">
        <v>1360</v>
      </c>
      <c r="C21" s="566"/>
      <c r="D21" s="28"/>
      <c r="E21" s="15"/>
      <c r="F21" s="29"/>
    </row>
    <row r="22" spans="1:6">
      <c r="C22" s="75"/>
      <c r="D22" s="28"/>
      <c r="E22" s="15"/>
      <c r="F22" s="29"/>
    </row>
    <row r="23" spans="1:6" s="13" customFormat="1">
      <c r="B23" s="19" t="s">
        <v>50</v>
      </c>
      <c r="C23"/>
      <c r="D23"/>
      <c r="E23"/>
      <c r="F23"/>
    </row>
    <row r="24" spans="1:6" s="20" customFormat="1">
      <c r="A24"/>
      <c r="B24" s="201" t="s">
        <v>1361</v>
      </c>
      <c r="C24" s="18"/>
      <c r="D24" s="18"/>
      <c r="E24" s="18"/>
      <c r="F24" s="18"/>
    </row>
    <row r="26" spans="1:6">
      <c r="B26" s="122" t="s">
        <v>50</v>
      </c>
      <c r="C26" s="72" t="s">
        <v>1362</v>
      </c>
      <c r="D26" s="72" t="s">
        <v>1363</v>
      </c>
      <c r="E26" s="72" t="s">
        <v>1364</v>
      </c>
      <c r="F26" s="72" t="s">
        <v>1365</v>
      </c>
    </row>
    <row r="27" spans="1:6" ht="27.6">
      <c r="B27" s="261" t="s">
        <v>1366</v>
      </c>
      <c r="C27" s="468">
        <v>11.228925971556365</v>
      </c>
      <c r="D27" s="468">
        <v>10.383778317686389</v>
      </c>
      <c r="E27" s="468">
        <v>11.79</v>
      </c>
      <c r="F27" s="468">
        <v>13.4</v>
      </c>
    </row>
    <row r="28" spans="1:6" ht="49.5" customHeight="1">
      <c r="B28" s="602" t="s">
        <v>1367</v>
      </c>
      <c r="C28" s="602"/>
      <c r="D28" s="602"/>
      <c r="E28" s="602"/>
      <c r="F28" s="602"/>
    </row>
    <row r="29" spans="1:6">
      <c r="B29" s="40"/>
      <c r="C29" s="40"/>
      <c r="D29" s="40"/>
      <c r="E29" s="40"/>
      <c r="F29" s="40"/>
    </row>
    <row r="30" spans="1:6" s="13" customFormat="1">
      <c r="B30" s="19" t="s">
        <v>52</v>
      </c>
      <c r="C30"/>
      <c r="D30"/>
      <c r="E30"/>
      <c r="F30"/>
    </row>
    <row r="31" spans="1:6" s="20" customFormat="1">
      <c r="A31"/>
      <c r="B31" s="201" t="s">
        <v>1368</v>
      </c>
      <c r="C31" s="18"/>
      <c r="D31" s="18"/>
      <c r="E31" s="18"/>
      <c r="F31" s="18"/>
    </row>
    <row r="33" spans="1:14" s="70" customFormat="1" ht="29.25" customHeight="1">
      <c r="B33" s="266" t="s">
        <v>1369</v>
      </c>
      <c r="C33" s="203" t="s">
        <v>744</v>
      </c>
      <c r="D33" s="203" t="s">
        <v>747</v>
      </c>
      <c r="E33" s="203" t="s">
        <v>750</v>
      </c>
      <c r="F33" s="203" t="s">
        <v>703</v>
      </c>
      <c r="G33" s="203" t="s">
        <v>755</v>
      </c>
      <c r="H33" s="203" t="s">
        <v>758</v>
      </c>
      <c r="I33" s="203" t="s">
        <v>761</v>
      </c>
      <c r="J33" s="203" t="s">
        <v>765</v>
      </c>
      <c r="K33" s="202" t="s">
        <v>768</v>
      </c>
      <c r="L33" s="202" t="s">
        <v>770</v>
      </c>
      <c r="M33" s="265" t="s">
        <v>835</v>
      </c>
      <c r="N33" s="267"/>
    </row>
    <row r="34" spans="1:14" ht="27.6">
      <c r="B34" s="263" t="s">
        <v>1164</v>
      </c>
      <c r="C34" s="469">
        <v>266195.87995444</v>
      </c>
      <c r="D34" s="469">
        <v>11837.823947317</v>
      </c>
      <c r="E34" s="469">
        <v>63371.174113534842</v>
      </c>
      <c r="F34" s="469">
        <v>4632.6171916203884</v>
      </c>
      <c r="G34" s="469">
        <v>7283.8664439899985</v>
      </c>
      <c r="H34" s="469">
        <v>34233.984799675003</v>
      </c>
      <c r="I34" s="469">
        <v>90087.288640245504</v>
      </c>
      <c r="J34" s="469">
        <v>49294.430288035997</v>
      </c>
      <c r="K34" s="469">
        <v>54474.408745725115</v>
      </c>
      <c r="L34" s="469">
        <v>30594.123654341205</v>
      </c>
      <c r="M34" s="470">
        <f>SUM(Table3558[[#This Row],[Greenstone]:[RDM]])</f>
        <v>612005.59777892509</v>
      </c>
      <c r="N34" s="41"/>
    </row>
    <row r="35" spans="1:14" ht="57" customHeight="1">
      <c r="B35" s="602" t="s">
        <v>1370</v>
      </c>
      <c r="C35" s="602"/>
      <c r="D35" s="602"/>
      <c r="E35" s="602"/>
      <c r="F35" s="602"/>
      <c r="G35" s="602"/>
      <c r="H35" s="602"/>
      <c r="I35" s="602"/>
      <c r="J35" s="602"/>
      <c r="K35" s="602"/>
      <c r="L35" s="602"/>
      <c r="M35" s="602"/>
      <c r="N35" s="44"/>
    </row>
    <row r="36" spans="1:14">
      <c r="B36" s="235"/>
      <c r="C36" s="56"/>
      <c r="D36" s="57"/>
      <c r="E36" s="57"/>
      <c r="F36" s="57"/>
      <c r="G36" s="57"/>
      <c r="H36" s="57"/>
      <c r="I36" s="57"/>
      <c r="J36" s="57"/>
      <c r="K36" s="57"/>
      <c r="L36" s="55"/>
      <c r="M36" s="40"/>
      <c r="N36" s="40"/>
    </row>
    <row r="37" spans="1:14">
      <c r="B37" s="19" t="s">
        <v>54</v>
      </c>
      <c r="C37" s="56"/>
      <c r="D37" s="57"/>
      <c r="E37" s="57"/>
      <c r="F37" s="57"/>
      <c r="G37" s="57"/>
      <c r="H37" s="57"/>
      <c r="I37" s="57"/>
      <c r="J37" s="57"/>
      <c r="K37" s="57"/>
      <c r="L37" s="55"/>
      <c r="M37" s="40"/>
      <c r="N37" s="40"/>
    </row>
    <row r="38" spans="1:14" s="20" customFormat="1">
      <c r="A38"/>
      <c r="B38" s="201" t="s">
        <v>1371</v>
      </c>
      <c r="C38" s="18"/>
      <c r="D38" s="18"/>
      <c r="E38" s="18"/>
      <c r="F38" s="18"/>
    </row>
    <row r="40" spans="1:14" s="70" customFormat="1" ht="40.5" customHeight="1">
      <c r="B40" s="122" t="s">
        <v>1372</v>
      </c>
      <c r="C40" s="231" t="s">
        <v>744</v>
      </c>
      <c r="D40" s="231" t="s">
        <v>747</v>
      </c>
      <c r="E40" s="231" t="s">
        <v>750</v>
      </c>
      <c r="F40" s="231" t="s">
        <v>703</v>
      </c>
      <c r="G40" s="231" t="s">
        <v>755</v>
      </c>
      <c r="H40" s="231" t="s">
        <v>758</v>
      </c>
      <c r="I40" s="231" t="s">
        <v>761</v>
      </c>
      <c r="J40" s="231" t="s">
        <v>765</v>
      </c>
      <c r="K40" s="231" t="s">
        <v>768</v>
      </c>
      <c r="L40" s="231" t="s">
        <v>770</v>
      </c>
      <c r="M40" s="231" t="s">
        <v>835</v>
      </c>
    </row>
    <row r="41" spans="1:14">
      <c r="B41" s="240" t="s">
        <v>1373</v>
      </c>
      <c r="C41" s="471">
        <v>2628.2175000000002</v>
      </c>
      <c r="D41" s="471">
        <v>289.34976599999999</v>
      </c>
      <c r="E41" s="471">
        <v>7268.1689267927532</v>
      </c>
      <c r="F41" s="471">
        <v>0</v>
      </c>
      <c r="G41" s="471">
        <v>27331.254720000004</v>
      </c>
      <c r="H41" s="471">
        <v>17969.9798673</v>
      </c>
      <c r="I41" s="471">
        <v>20414.190566013585</v>
      </c>
      <c r="J41" s="471">
        <v>4159.5569000000005</v>
      </c>
      <c r="K41" s="471">
        <v>8022.8803171</v>
      </c>
      <c r="L41" s="472">
        <v>4773.7011000000002</v>
      </c>
      <c r="M41" s="473">
        <f>SUM(Table353785[[#This Row],[Greenstone]:[RDM]])</f>
        <v>92857.299663206344</v>
      </c>
    </row>
    <row r="42" spans="1:14">
      <c r="B42" s="240" t="s">
        <v>1374</v>
      </c>
      <c r="C42" s="474">
        <v>2628.2175000000002</v>
      </c>
      <c r="D42" s="474">
        <v>289.34976599999999</v>
      </c>
      <c r="E42" s="474">
        <v>7268.1689267927532</v>
      </c>
      <c r="F42" s="474">
        <v>0</v>
      </c>
      <c r="G42" s="474">
        <v>27331.254720000004</v>
      </c>
      <c r="H42" s="474">
        <v>0</v>
      </c>
      <c r="I42" s="474">
        <v>0</v>
      </c>
      <c r="J42" s="474">
        <v>4159.5569000000005</v>
      </c>
      <c r="K42" s="474">
        <v>0</v>
      </c>
      <c r="L42" s="472">
        <v>4773.7011000000002</v>
      </c>
      <c r="M42" s="473">
        <f>SUM(Table353785[[#This Row],[Greenstone]:[RDM]])</f>
        <v>46450.248912792755</v>
      </c>
    </row>
    <row r="43" spans="1:14" ht="72.75" customHeight="1">
      <c r="B43" s="602" t="s">
        <v>1375</v>
      </c>
      <c r="C43" s="602"/>
      <c r="D43" s="602"/>
      <c r="E43" s="602"/>
      <c r="F43" s="602"/>
      <c r="G43" s="602"/>
      <c r="H43" s="602"/>
      <c r="I43" s="602"/>
      <c r="J43" s="602"/>
      <c r="K43" s="602"/>
      <c r="L43" s="602"/>
      <c r="M43" s="602"/>
    </row>
    <row r="45" spans="1:14" s="13" customFormat="1">
      <c r="B45" s="19" t="s">
        <v>56</v>
      </c>
      <c r="C45"/>
      <c r="D45"/>
      <c r="E45"/>
      <c r="F45"/>
    </row>
    <row r="46" spans="1:14" s="20" customFormat="1">
      <c r="A46"/>
      <c r="B46" s="201" t="s">
        <v>1376</v>
      </c>
      <c r="C46" s="18"/>
      <c r="D46" s="18"/>
      <c r="E46" s="18"/>
      <c r="F46" s="18"/>
    </row>
    <row r="48" spans="1:14" s="70" customFormat="1" ht="27.6">
      <c r="B48" s="122" t="s">
        <v>1377</v>
      </c>
      <c r="C48" s="268" t="s">
        <v>744</v>
      </c>
      <c r="D48" s="268" t="s">
        <v>747</v>
      </c>
      <c r="E48" s="268" t="s">
        <v>750</v>
      </c>
      <c r="F48" s="268" t="s">
        <v>703</v>
      </c>
      <c r="G48" s="268" t="s">
        <v>755</v>
      </c>
      <c r="H48" s="268" t="s">
        <v>758</v>
      </c>
      <c r="I48" s="268" t="s">
        <v>761</v>
      </c>
      <c r="J48" s="268" t="s">
        <v>765</v>
      </c>
      <c r="K48" s="268" t="s">
        <v>768</v>
      </c>
      <c r="L48" s="268" t="s">
        <v>770</v>
      </c>
      <c r="M48" s="72" t="s">
        <v>835</v>
      </c>
    </row>
    <row r="49" spans="1:13" ht="54.75" customHeight="1">
      <c r="B49" s="261" t="s">
        <v>1378</v>
      </c>
      <c r="C49" s="475">
        <v>1.2009493147180839</v>
      </c>
      <c r="D49" s="475">
        <v>0.5092027927996724</v>
      </c>
      <c r="E49" s="475">
        <v>0.81637189516416209</v>
      </c>
      <c r="F49" s="475">
        <v>0.50963885496373906</v>
      </c>
      <c r="G49" s="475">
        <v>1.0465871978914367</v>
      </c>
      <c r="H49" s="475">
        <v>0.47809489281020884</v>
      </c>
      <c r="I49" s="475">
        <v>0.47309782922090904</v>
      </c>
      <c r="J49" s="475">
        <v>0.72573806573968147</v>
      </c>
      <c r="K49" s="475">
        <v>0.42987487121858653</v>
      </c>
      <c r="L49" s="475">
        <v>0.59760353564036106</v>
      </c>
      <c r="M49" s="475">
        <v>0.73340520569173051</v>
      </c>
    </row>
    <row r="50" spans="1:13" ht="28.5" customHeight="1">
      <c r="B50" s="602" t="s">
        <v>1379</v>
      </c>
      <c r="C50" s="602"/>
      <c r="D50" s="602"/>
      <c r="E50" s="602"/>
      <c r="F50" s="602"/>
      <c r="G50" s="602"/>
      <c r="H50" s="602"/>
      <c r="I50" s="602"/>
      <c r="J50" s="602"/>
      <c r="K50" s="602"/>
      <c r="L50" s="602"/>
      <c r="M50" s="602"/>
    </row>
    <row r="52" spans="1:13" s="13" customFormat="1">
      <c r="B52" s="19" t="s">
        <v>58</v>
      </c>
      <c r="C52"/>
      <c r="D52"/>
      <c r="E52"/>
      <c r="F52"/>
    </row>
    <row r="53" spans="1:13" s="20" customFormat="1">
      <c r="A53"/>
      <c r="B53" s="201" t="s">
        <v>1380</v>
      </c>
      <c r="C53" s="18"/>
      <c r="D53" s="18"/>
      <c r="E53" s="18"/>
      <c r="F53" s="18"/>
    </row>
    <row r="55" spans="1:13" ht="27.6">
      <c r="B55" s="122" t="s">
        <v>1381</v>
      </c>
      <c r="C55" s="72" t="s">
        <v>1382</v>
      </c>
      <c r="D55" s="72" t="s">
        <v>1383</v>
      </c>
      <c r="E55" s="72" t="s">
        <v>805</v>
      </c>
    </row>
    <row r="56" spans="1:13" ht="17.25" customHeight="1">
      <c r="B56" s="261" t="s">
        <v>1384</v>
      </c>
      <c r="C56" s="476">
        <v>1566</v>
      </c>
      <c r="D56" s="476">
        <v>0</v>
      </c>
      <c r="E56" s="476">
        <v>1566</v>
      </c>
    </row>
    <row r="57" spans="1:13" ht="42.75" customHeight="1">
      <c r="B57" s="261" t="s">
        <v>1385</v>
      </c>
      <c r="C57" s="476">
        <v>0</v>
      </c>
      <c r="D57" s="476">
        <v>12140</v>
      </c>
      <c r="E57" s="476">
        <v>12140</v>
      </c>
    </row>
    <row r="58" spans="1:13" ht="27.6">
      <c r="B58" s="261" t="s">
        <v>1386</v>
      </c>
      <c r="C58" s="476">
        <v>0</v>
      </c>
      <c r="D58" s="476">
        <v>8023</v>
      </c>
      <c r="E58" s="476">
        <v>8023</v>
      </c>
    </row>
    <row r="59" spans="1:13" ht="55.2">
      <c r="B59" s="261" t="s">
        <v>1387</v>
      </c>
      <c r="C59" s="476">
        <v>0</v>
      </c>
      <c r="D59" s="476">
        <v>38384</v>
      </c>
      <c r="E59" s="476">
        <v>38384</v>
      </c>
    </row>
    <row r="60" spans="1:13">
      <c r="B60" s="241" t="s">
        <v>805</v>
      </c>
      <c r="C60" s="476">
        <f>SUBTOTAL(109,Table8[Scope 1])</f>
        <v>1566</v>
      </c>
      <c r="D60" s="476">
        <f>SUBTOTAL(109,Table8[Scope 2])</f>
        <v>58547</v>
      </c>
      <c r="E60" s="476">
        <f>SUBTOTAL(109,Table8[Total])</f>
        <v>60113</v>
      </c>
    </row>
    <row r="62" spans="1:13" s="1" customFormat="1">
      <c r="B62" s="19" t="s">
        <v>60</v>
      </c>
    </row>
    <row r="63" spans="1:13" s="18" customFormat="1">
      <c r="A63" s="13"/>
      <c r="B63" s="201" t="s">
        <v>1388</v>
      </c>
    </row>
    <row r="64" spans="1:13">
      <c r="M64" s="5"/>
    </row>
    <row r="65" spans="2:15" s="70" customFormat="1" ht="27.6">
      <c r="B65" s="122" t="s">
        <v>1389</v>
      </c>
      <c r="C65" s="231" t="s">
        <v>744</v>
      </c>
      <c r="D65" s="231" t="s">
        <v>747</v>
      </c>
      <c r="E65" s="231" t="s">
        <v>750</v>
      </c>
      <c r="F65" s="231" t="s">
        <v>703</v>
      </c>
      <c r="G65" s="231" t="s">
        <v>755</v>
      </c>
      <c r="H65" s="231" t="s">
        <v>758</v>
      </c>
      <c r="I65" s="231" t="s">
        <v>761</v>
      </c>
      <c r="J65" s="231" t="s">
        <v>765</v>
      </c>
      <c r="K65" s="231" t="s">
        <v>768</v>
      </c>
      <c r="L65" s="231" t="s">
        <v>770</v>
      </c>
    </row>
    <row r="66" spans="2:15">
      <c r="B66" s="261" t="s">
        <v>1390</v>
      </c>
      <c r="C66" s="477">
        <v>1607</v>
      </c>
      <c r="D66" s="477">
        <v>0</v>
      </c>
      <c r="E66" s="477">
        <v>835.41</v>
      </c>
      <c r="F66" s="477">
        <v>5.0000399999999994</v>
      </c>
      <c r="G66" s="477">
        <v>0</v>
      </c>
      <c r="H66" s="477">
        <v>0</v>
      </c>
      <c r="I66" s="477" t="s">
        <v>877</v>
      </c>
      <c r="J66" s="474" t="s">
        <v>877</v>
      </c>
      <c r="K66" s="474">
        <v>0</v>
      </c>
      <c r="L66" s="474">
        <v>0</v>
      </c>
    </row>
    <row r="67" spans="2:15">
      <c r="B67" s="261" t="s">
        <v>1391</v>
      </c>
      <c r="C67" s="477">
        <v>7.6</v>
      </c>
      <c r="D67" s="477">
        <v>0</v>
      </c>
      <c r="E67" s="477">
        <v>1.68</v>
      </c>
      <c r="F67" s="477">
        <v>0.15</v>
      </c>
      <c r="G67" s="477">
        <v>0</v>
      </c>
      <c r="H67" s="477">
        <v>0</v>
      </c>
      <c r="I67" s="477" t="s">
        <v>877</v>
      </c>
      <c r="J67" s="474" t="s">
        <v>877</v>
      </c>
      <c r="K67" s="474">
        <v>0</v>
      </c>
      <c r="L67" s="474">
        <v>0</v>
      </c>
    </row>
    <row r="68" spans="2:15">
      <c r="B68" s="261" t="s">
        <v>1392</v>
      </c>
      <c r="C68" s="478">
        <v>1122</v>
      </c>
      <c r="D68" s="478">
        <v>0</v>
      </c>
      <c r="E68" s="478" t="s">
        <v>877</v>
      </c>
      <c r="F68" s="478">
        <v>9.9999599999999997</v>
      </c>
      <c r="G68" s="478">
        <v>0</v>
      </c>
      <c r="H68" s="478">
        <v>0</v>
      </c>
      <c r="I68" s="478" t="s">
        <v>877</v>
      </c>
      <c r="J68" s="474" t="s">
        <v>877</v>
      </c>
      <c r="K68" s="474">
        <v>0</v>
      </c>
      <c r="L68" s="474">
        <v>0</v>
      </c>
    </row>
    <row r="69" spans="2:15" ht="52.5" customHeight="1">
      <c r="B69" s="602" t="s">
        <v>1393</v>
      </c>
      <c r="C69" s="602"/>
      <c r="D69" s="602"/>
      <c r="E69" s="602"/>
      <c r="F69" s="602"/>
      <c r="G69" s="602"/>
      <c r="H69" s="602"/>
      <c r="I69" s="602"/>
      <c r="J69" s="602"/>
      <c r="K69" s="602"/>
      <c r="L69" s="602"/>
      <c r="M69" s="26"/>
      <c r="O69" s="4"/>
    </row>
  </sheetData>
  <mergeCells count="10">
    <mergeCell ref="B2:H2"/>
    <mergeCell ref="B16:D16"/>
    <mergeCell ref="B6:K6"/>
    <mergeCell ref="B28:F28"/>
    <mergeCell ref="B3:K3"/>
    <mergeCell ref="B43:M43"/>
    <mergeCell ref="B35:M35"/>
    <mergeCell ref="B50:M50"/>
    <mergeCell ref="B69:L69"/>
    <mergeCell ref="B21:C21"/>
  </mergeCells>
  <phoneticPr fontId="11" type="noConversion"/>
  <hyperlinks>
    <hyperlink ref="B7" r:id="rId1" xr:uid="{481BA5C1-209B-4C4C-B19C-45401CCAA34F}"/>
  </hyperlinks>
  <pageMargins left="0.7" right="0.7" top="0.75" bottom="0.75" header="0.3" footer="0.3"/>
  <drawing r:id="rId2"/>
  <tableParts count="8">
    <tablePart r:id="rId3"/>
    <tablePart r:id="rId4"/>
    <tablePart r:id="rId5"/>
    <tablePart r:id="rId6"/>
    <tablePart r:id="rId7"/>
    <tablePart r:id="rId8"/>
    <tablePart r:id="rId9"/>
    <tablePart r:id="rId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85409-D555-41EA-8AA1-ECE85A1305B1}">
  <dimension ref="A2:M48"/>
  <sheetViews>
    <sheetView showGridLines="0" zoomScale="80" zoomScaleNormal="80" workbookViewId="0">
      <selection activeCell="C43" sqref="C43"/>
    </sheetView>
  </sheetViews>
  <sheetFormatPr defaultColWidth="8.88671875" defaultRowHeight="14.4"/>
  <cols>
    <col min="1" max="1" width="4" customWidth="1"/>
    <col min="2" max="11" width="30.6640625" customWidth="1"/>
    <col min="12" max="12" width="27.44140625" customWidth="1"/>
    <col min="13" max="13" width="21.33203125" customWidth="1"/>
    <col min="14" max="14" width="15.6640625" bestFit="1" customWidth="1"/>
    <col min="15" max="15" width="12.109375" bestFit="1" customWidth="1"/>
    <col min="16" max="16" width="17.109375" bestFit="1" customWidth="1"/>
  </cols>
  <sheetData>
    <row r="2" spans="1:13" ht="21">
      <c r="A2" s="222"/>
      <c r="B2" s="33" t="s">
        <v>1230</v>
      </c>
      <c r="C2" s="33"/>
      <c r="E2" s="107"/>
      <c r="F2" s="107"/>
      <c r="G2" s="33"/>
    </row>
    <row r="3" spans="1:13" s="37" customFormat="1" ht="13.8">
      <c r="A3" s="273"/>
      <c r="B3" s="634" t="s">
        <v>1394</v>
      </c>
      <c r="C3" s="634"/>
      <c r="D3" s="634"/>
      <c r="E3" s="634"/>
      <c r="F3" s="634"/>
      <c r="G3" s="634"/>
    </row>
    <row r="5" spans="1:13" ht="18">
      <c r="B5" s="19" t="s">
        <v>1239</v>
      </c>
      <c r="C5" s="17"/>
      <c r="D5" s="17"/>
      <c r="E5" s="17"/>
    </row>
    <row r="6" spans="1:13" s="18" customFormat="1">
      <c r="A6" s="13"/>
      <c r="B6" s="568" t="s">
        <v>1395</v>
      </c>
      <c r="C6" s="568"/>
      <c r="D6" s="568"/>
      <c r="E6" s="568"/>
      <c r="F6" s="568"/>
      <c r="G6" s="568"/>
      <c r="H6" s="568"/>
      <c r="I6" s="568"/>
      <c r="J6" s="568"/>
      <c r="K6" s="568"/>
    </row>
    <row r="7" spans="1:13">
      <c r="B7" s="458" t="s">
        <v>1396</v>
      </c>
    </row>
    <row r="8" spans="1:13">
      <c r="D8" s="110"/>
      <c r="E8" s="110"/>
      <c r="I8" s="110"/>
    </row>
    <row r="9" spans="1:13">
      <c r="B9" s="19" t="s">
        <v>63</v>
      </c>
      <c r="D9" s="110"/>
    </row>
    <row r="10" spans="1:13" s="20" customFormat="1">
      <c r="A10"/>
      <c r="B10" s="18" t="s">
        <v>1397</v>
      </c>
      <c r="C10" s="18"/>
      <c r="D10" s="18"/>
      <c r="E10" s="18"/>
      <c r="F10" s="18"/>
      <c r="H10" s="23"/>
      <c r="I10" s="23"/>
      <c r="J10" s="23"/>
      <c r="K10" s="23"/>
      <c r="L10" s="23"/>
      <c r="M10" s="23"/>
    </row>
    <row r="11" spans="1:13">
      <c r="B11" s="45"/>
      <c r="C11" s="13"/>
      <c r="D11" s="13"/>
      <c r="E11" s="13"/>
      <c r="F11" s="13"/>
      <c r="H11" s="1"/>
      <c r="I11" s="1"/>
      <c r="J11" s="1"/>
      <c r="K11" s="1"/>
      <c r="L11" s="1"/>
      <c r="M11" s="1"/>
    </row>
    <row r="12" spans="1:13" ht="26.25" customHeight="1">
      <c r="B12" s="637" t="s">
        <v>1398</v>
      </c>
      <c r="C12" s="274" t="s">
        <v>1399</v>
      </c>
      <c r="D12" s="635" t="s">
        <v>1400</v>
      </c>
      <c r="E12" s="635"/>
      <c r="F12" s="635"/>
      <c r="G12" s="635"/>
      <c r="H12" s="635"/>
      <c r="I12" s="635"/>
      <c r="J12" s="635"/>
      <c r="K12" s="636" t="s">
        <v>1401</v>
      </c>
    </row>
    <row r="13" spans="1:13" ht="23.25" customHeight="1">
      <c r="B13" s="637"/>
      <c r="C13" s="479" t="s">
        <v>1402</v>
      </c>
      <c r="D13" s="479" t="s">
        <v>1403</v>
      </c>
      <c r="E13" s="480" t="s">
        <v>1404</v>
      </c>
      <c r="F13" s="481" t="s">
        <v>1405</v>
      </c>
      <c r="G13" s="479" t="s">
        <v>1406</v>
      </c>
      <c r="H13" s="479" t="s">
        <v>1407</v>
      </c>
      <c r="I13" s="479" t="s">
        <v>1408</v>
      </c>
      <c r="J13" s="479" t="s">
        <v>1409</v>
      </c>
      <c r="K13" s="636"/>
      <c r="M13" s="3"/>
    </row>
    <row r="14" spans="1:13">
      <c r="B14" s="280" t="s">
        <v>705</v>
      </c>
      <c r="C14" s="275">
        <v>891941046.65592861</v>
      </c>
      <c r="D14" s="275">
        <v>346322507.18861401</v>
      </c>
      <c r="E14" s="276">
        <v>66896336.255819641</v>
      </c>
      <c r="F14" s="276">
        <v>26067285.405702922</v>
      </c>
      <c r="G14" s="276">
        <v>1964902.3333740234</v>
      </c>
      <c r="H14" s="276">
        <v>139023640.32088929</v>
      </c>
      <c r="I14" s="276">
        <v>10939972.134661851</v>
      </c>
      <c r="J14" s="276">
        <v>22929000</v>
      </c>
      <c r="K14" s="277">
        <f>C14-(D14+E14+F14+G14+H14+I14+J14)</f>
        <v>277797403.01686692</v>
      </c>
      <c r="M14" s="3"/>
    </row>
    <row r="15" spans="1:13">
      <c r="B15" s="280" t="s">
        <v>710</v>
      </c>
      <c r="C15" s="275">
        <v>109448412.26999997</v>
      </c>
      <c r="D15" s="275">
        <v>143853663.34892097</v>
      </c>
      <c r="E15" s="276">
        <v>44811159.932621397</v>
      </c>
      <c r="F15" s="276">
        <v>1204704.69</v>
      </c>
      <c r="G15" s="276">
        <v>4434565.45</v>
      </c>
      <c r="H15" s="276">
        <v>8855411.4900000002</v>
      </c>
      <c r="I15" s="276">
        <v>578362.94000000006</v>
      </c>
      <c r="J15" s="276">
        <v>61899899.991872132</v>
      </c>
      <c r="K15" s="277">
        <f t="shared" ref="K15:K19" si="0">C15-(D15+E15+F15+G15+H15+I15+J15)</f>
        <v>-156189355.5734145</v>
      </c>
      <c r="M15" s="3"/>
    </row>
    <row r="16" spans="1:13">
      <c r="B16" s="280" t="s">
        <v>1410</v>
      </c>
      <c r="C16" s="275">
        <v>316527633.18000001</v>
      </c>
      <c r="D16" s="275">
        <v>75031617.074383408</v>
      </c>
      <c r="E16" s="276">
        <v>49424101.272003196</v>
      </c>
      <c r="F16" s="276">
        <v>7323023.4199999999</v>
      </c>
      <c r="G16" s="276">
        <v>278822.01</v>
      </c>
      <c r="H16" s="276">
        <v>58385204.783928826</v>
      </c>
      <c r="I16" s="276">
        <v>189786.04</v>
      </c>
      <c r="J16" s="276">
        <v>12337772</v>
      </c>
      <c r="K16" s="277">
        <f t="shared" si="0"/>
        <v>113557306.57968459</v>
      </c>
      <c r="M16" s="3"/>
    </row>
    <row r="17" spans="2:13">
      <c r="B17" s="285" t="s">
        <v>693</v>
      </c>
      <c r="C17" s="278">
        <v>858124341.72874069</v>
      </c>
      <c r="D17" s="278">
        <v>242320184.39738479</v>
      </c>
      <c r="E17" s="276">
        <v>93174775.536180168</v>
      </c>
      <c r="F17" s="276">
        <v>25610254.16</v>
      </c>
      <c r="G17" s="276">
        <v>5250347.1213798029</v>
      </c>
      <c r="H17" s="276">
        <v>368828198.13905984</v>
      </c>
      <c r="I17" s="276">
        <v>40165502.533186376</v>
      </c>
      <c r="J17" s="279">
        <v>0</v>
      </c>
      <c r="K17" s="277">
        <f t="shared" si="0"/>
        <v>82775079.841549635</v>
      </c>
      <c r="M17" s="3"/>
    </row>
    <row r="18" spans="2:13">
      <c r="B18" s="285" t="s">
        <v>713</v>
      </c>
      <c r="C18" s="278">
        <v>491593593.8611092</v>
      </c>
      <c r="D18" s="278">
        <v>172069057.6281862</v>
      </c>
      <c r="E18" s="276">
        <v>31960857.226126529</v>
      </c>
      <c r="F18" s="276">
        <v>4102173.4750124924</v>
      </c>
      <c r="G18" s="276">
        <v>1683017</v>
      </c>
      <c r="H18" s="276">
        <v>76880809.83447513</v>
      </c>
      <c r="I18" s="276">
        <v>384473.77806538262</v>
      </c>
      <c r="J18" s="276">
        <v>32059798.514399186</v>
      </c>
      <c r="K18" s="277">
        <f t="shared" si="0"/>
        <v>172453406.40484428</v>
      </c>
      <c r="M18" s="3"/>
    </row>
    <row r="19" spans="2:13" s="43" customFormat="1" ht="27.6">
      <c r="B19" s="285" t="s">
        <v>1411</v>
      </c>
      <c r="C19" s="482">
        <v>0</v>
      </c>
      <c r="D19" s="483">
        <v>39487817.699450634</v>
      </c>
      <c r="E19" s="484">
        <v>65600040.229160629</v>
      </c>
      <c r="F19" s="485">
        <v>0</v>
      </c>
      <c r="G19" s="484">
        <v>185940.43</v>
      </c>
      <c r="H19" s="485">
        <v>0</v>
      </c>
      <c r="I19" s="484">
        <v>120184770.49426536</v>
      </c>
      <c r="J19" s="484">
        <v>-95.239999999999981</v>
      </c>
      <c r="K19" s="486">
        <f t="shared" si="0"/>
        <v>-225458473.61287662</v>
      </c>
      <c r="M19" s="487"/>
    </row>
    <row r="20" spans="2:13">
      <c r="B20" s="280" t="s">
        <v>805</v>
      </c>
      <c r="C20" s="281">
        <f t="shared" ref="C20:J20" si="1">SUM(C14:C19)</f>
        <v>2667635027.6957784</v>
      </c>
      <c r="D20" s="281">
        <f t="shared" si="1"/>
        <v>1019084847.3369399</v>
      </c>
      <c r="E20" s="282">
        <f t="shared" si="1"/>
        <v>351867270.45191157</v>
      </c>
      <c r="F20" s="282">
        <f t="shared" si="1"/>
        <v>64307441.150715426</v>
      </c>
      <c r="G20" s="283">
        <f t="shared" si="1"/>
        <v>13797594.344753826</v>
      </c>
      <c r="H20" s="282">
        <f t="shared" si="1"/>
        <v>651973264.56835306</v>
      </c>
      <c r="I20" s="282">
        <f t="shared" si="1"/>
        <v>172442867.92017898</v>
      </c>
      <c r="J20" s="282">
        <f t="shared" si="1"/>
        <v>129226375.26627132</v>
      </c>
      <c r="K20" s="284">
        <f>C20-(D20+E20+F20+G20+H20+I20+J20)</f>
        <v>264935366.65665483</v>
      </c>
      <c r="M20" s="3"/>
    </row>
    <row r="21" spans="2:13" ht="153.75" customHeight="1">
      <c r="B21" s="602" t="s">
        <v>1412</v>
      </c>
      <c r="C21" s="602"/>
      <c r="D21" s="602"/>
      <c r="E21" s="602"/>
      <c r="F21" s="602"/>
      <c r="G21" s="602"/>
      <c r="H21" s="602"/>
      <c r="I21" s="602"/>
      <c r="J21" s="602"/>
      <c r="K21" s="602"/>
      <c r="L21" s="27"/>
    </row>
    <row r="43" spans="2:2" ht="23.4">
      <c r="B43" s="113"/>
    </row>
    <row r="48" spans="2:2" s="1" customFormat="1"/>
  </sheetData>
  <mergeCells count="6">
    <mergeCell ref="B3:G3"/>
    <mergeCell ref="B21:K21"/>
    <mergeCell ref="D12:J12"/>
    <mergeCell ref="B6:K6"/>
    <mergeCell ref="K12:K13"/>
    <mergeCell ref="B12:B13"/>
  </mergeCells>
  <phoneticPr fontId="11" type="noConversion"/>
  <hyperlinks>
    <hyperlink ref="B7" r:id="rId1" xr:uid="{C7A5C474-92E4-4AA6-934A-6530945F34D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DB72D2D5E9EB49BE258BBA977783A0" ma:contentTypeVersion="18" ma:contentTypeDescription="Create a new document." ma:contentTypeScope="" ma:versionID="af9218c1f73afb83a4d20636c9441d95">
  <xsd:schema xmlns:xsd="http://www.w3.org/2001/XMLSchema" xmlns:xs="http://www.w3.org/2001/XMLSchema" xmlns:p="http://schemas.microsoft.com/office/2006/metadata/properties" xmlns:ns2="dd5f3a9f-b0aa-48c8-83de-cc7a43894e19" xmlns:ns3="dc2c5c80-05d8-4393-9939-443aedac61a0" targetNamespace="http://schemas.microsoft.com/office/2006/metadata/properties" ma:root="true" ma:fieldsID="a140a011d49d11003cbee384d12d7e65" ns2:_="" ns3:_="">
    <xsd:import namespace="dd5f3a9f-b0aa-48c8-83de-cc7a43894e19"/>
    <xsd:import namespace="dc2c5c80-05d8-4393-9939-443aedac61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f3a9f-b0aa-48c8-83de-cc7a43894e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22027c-5ca5-42ec-98cc-288612efe5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c5c80-05d8-4393-9939-443aedac61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49f8e1f-9616-4291-a867-e44ede895fb5}" ma:internalName="TaxCatchAll" ma:showField="CatchAllData" ma:web="dc2c5c80-05d8-4393-9939-443aedac61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c2c5c80-05d8-4393-9939-443aedac61a0" xsi:nil="true"/>
    <lcf76f155ced4ddcb4097134ff3c332f xmlns="dd5f3a9f-b0aa-48c8-83de-cc7a43894e1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10C8E-F85C-4843-9672-EF62F9954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f3a9f-b0aa-48c8-83de-cc7a43894e19"/>
    <ds:schemaRef ds:uri="dc2c5c80-05d8-4393-9939-443aedac6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8BAFA6-7851-4BF1-8C19-9CC799905AA5}">
  <ds:schemaRefs>
    <ds:schemaRef ds:uri="http://schemas.microsoft.com/office/2006/metadata/properties"/>
    <ds:schemaRef ds:uri="http://schemas.microsoft.com/office/infopath/2007/PartnerControls"/>
    <ds:schemaRef ds:uri="dc2c5c80-05d8-4393-9939-443aedac61a0"/>
    <ds:schemaRef ds:uri="dd5f3a9f-b0aa-48c8-83de-cc7a43894e19"/>
  </ds:schemaRefs>
</ds:datastoreItem>
</file>

<file path=customXml/itemProps3.xml><?xml version="1.0" encoding="utf-8"?>
<ds:datastoreItem xmlns:ds="http://schemas.openxmlformats.org/officeDocument/2006/customXml" ds:itemID="{5F2DC062-FAC1-47B9-899F-2674C8243E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78</vt:i4>
      </vt:variant>
    </vt:vector>
  </HeadingPairs>
  <TitlesOfParts>
    <vt:vector size="95" baseType="lpstr">
      <vt:lpstr>HOME</vt:lpstr>
      <vt:lpstr>GRI Content Index</vt:lpstr>
      <vt:lpstr>SASB Content Index</vt:lpstr>
      <vt:lpstr>Overview</vt:lpstr>
      <vt:lpstr>Performance Summary</vt:lpstr>
      <vt:lpstr>BIODIVERSITY</vt:lpstr>
      <vt:lpstr>BUSINESS ETHICS</vt:lpstr>
      <vt:lpstr>CLIMATE</vt:lpstr>
      <vt:lpstr>ECONOMIC CONTRIBUTIONS</vt:lpstr>
      <vt:lpstr>HUMAN RIGHTS</vt:lpstr>
      <vt:lpstr>INDIGENOUS AND COMMUNITIES</vt:lpstr>
      <vt:lpstr>OHS</vt:lpstr>
      <vt:lpstr>PEOPLE</vt:lpstr>
      <vt:lpstr>RESPONSIBLE SOURCING</vt:lpstr>
      <vt:lpstr>WASTE</vt:lpstr>
      <vt:lpstr>WATER</vt:lpstr>
      <vt:lpstr>Facilities Inventory</vt:lpstr>
      <vt:lpstr>'GRI Content Index'!_Toc219300811</vt:lpstr>
      <vt:lpstr>Acid_Rock_Drainage</vt:lpstr>
      <vt:lpstr>Acronyms</vt:lpstr>
      <vt:lpstr>Air_Emissions</vt:lpstr>
      <vt:lpstr>ASM</vt:lpstr>
      <vt:lpstr>Collective_Bargaining_Agreements</vt:lpstr>
      <vt:lpstr>Communication_of_critical_concerns</vt:lpstr>
      <vt:lpstr>Compliance_with_laws_and_regulations</vt:lpstr>
      <vt:lpstr>Confirmed_Incidents_of_Corruption_and_Actions_Taken</vt:lpstr>
      <vt:lpstr>Conflicts_or_Violations_of_Land_and_Resource_Rights</vt:lpstr>
      <vt:lpstr>Critical_incident_management</vt:lpstr>
      <vt:lpstr>Direct_Economic_Value_Generated_and_Distributed_by_Region</vt:lpstr>
      <vt:lpstr>Disturbance___Rehabilitation</vt:lpstr>
      <vt:lpstr>Diversity_of_Employees</vt:lpstr>
      <vt:lpstr>Economic_Performance_FY2025</vt:lpstr>
      <vt:lpstr>Employee_Demographics</vt:lpstr>
      <vt:lpstr>Energy_consumption_within_the_organization</vt:lpstr>
      <vt:lpstr>Energy_intensity</vt:lpstr>
      <vt:lpstr>Free__Prior__and_Informed_Consent__FPIC</vt:lpstr>
      <vt:lpstr>Geographic_Classification</vt:lpstr>
      <vt:lpstr>GHG_emissions_intensity</vt:lpstr>
      <vt:lpstr>Gold_Production_FY2025</vt:lpstr>
      <vt:lpstr>GRI_14.8_Closure_and_Rehabilitation</vt:lpstr>
      <vt:lpstr>GRI_content_index</vt:lpstr>
      <vt:lpstr>Grievances_from_Local_Communities</vt:lpstr>
      <vt:lpstr>Heap_Leach</vt:lpstr>
      <vt:lpstr>Heap_Leach_Facilities_Inventory_Table</vt:lpstr>
      <vt:lpstr>Incidents_of_Discrimination</vt:lpstr>
      <vt:lpstr>Incidents_of_Violations_Involving_Rights_of_Indigenous_Peoples</vt:lpstr>
      <vt:lpstr>Infrastructure_investments_and_services_supported_FY2025</vt:lpstr>
      <vt:lpstr>Involuntary_Resettlement</vt:lpstr>
      <vt:lpstr>Locations_with_Biodiversity_Impacts</vt:lpstr>
      <vt:lpstr>Management_Approach_Bio</vt:lpstr>
      <vt:lpstr>Management_Approach_Climate</vt:lpstr>
      <vt:lpstr>'HUMAN RIGHTS'!Management_Approach_Communities</vt:lpstr>
      <vt:lpstr>Management_Approach_Communities</vt:lpstr>
      <vt:lpstr>Management_Approach_Econ</vt:lpstr>
      <vt:lpstr>Management_Approach_Gov</vt:lpstr>
      <vt:lpstr>Management_Approach_HR</vt:lpstr>
      <vt:lpstr>Management_Approach_OHS</vt:lpstr>
      <vt:lpstr>Management_Approach_SC</vt:lpstr>
      <vt:lpstr>Management_Approach_Waste</vt:lpstr>
      <vt:lpstr>Management_Approach_Water</vt:lpstr>
      <vt:lpstr>MSHA_all_incidence_rate__fatality_rate__near_miss_frequency_rate_and_average_hours_of_health__safety__and_emergency_response_training</vt:lpstr>
      <vt:lpstr>NAVIGATION_TABLE</vt:lpstr>
      <vt:lpstr>New_Employee_Hires_and_Employee_Turnover</vt:lpstr>
      <vt:lpstr>Non_technical_Delays</vt:lpstr>
      <vt:lpstr>Number_of_incidents_of_non_compliance_associated_with_water_quality_permits__standards_and_regulations</vt:lpstr>
      <vt:lpstr>Operations_Assessed_for_Risks_Related_to_Corruption</vt:lpstr>
      <vt:lpstr>Operations_with_local_community_engagement__impact_assessments__and_development_programs</vt:lpstr>
      <vt:lpstr>Parental_Leave</vt:lpstr>
      <vt:lpstr>Percentage_of_mine_sites_where_acid_rock_drainage_is___1__predicted_to_occur___2__actively_mitigated__and__3__under_treatment_or_remediation</vt:lpstr>
      <vt:lpstr>Proportion_of_Spending_on_Local_Suppliers_by_Mine_Site</vt:lpstr>
      <vt:lpstr>Ratio_of_Basic_Salary_and_Remuneration_of_Women_to_Men</vt:lpstr>
      <vt:lpstr>Reduction_of_GHG_Emissions</vt:lpstr>
      <vt:lpstr>Reporting_Scope</vt:lpstr>
      <vt:lpstr>'HUMAN RIGHTS'!Reserves_in_or_Near_Areas_of_Conflict</vt:lpstr>
      <vt:lpstr>Reserves_in_or_Near_Indigenous_Peoples_Territories</vt:lpstr>
      <vt:lpstr>Restated_Information_FY2024_Water</vt:lpstr>
      <vt:lpstr>Restatements_of_Information</vt:lpstr>
      <vt:lpstr>Risk_of_Forced_and_Child_Labor</vt:lpstr>
      <vt:lpstr>SASB_Standards_Content_Index</vt:lpstr>
      <vt:lpstr>Scope_1_Emissions</vt:lpstr>
      <vt:lpstr>Scope_2_GHG_Emissions_by_Mine_Site</vt:lpstr>
      <vt:lpstr>'HUMAN RIGHTS'!Security_Personnel_Trained_in_Human_Rights</vt:lpstr>
      <vt:lpstr>Significant_Incidents_Associated_with_Hazardous_Materials_and_Waste_Management</vt:lpstr>
      <vt:lpstr>Strikes_and_Lockouts</vt:lpstr>
      <vt:lpstr>Tailings_Storage_Facilities_Inventory_Table</vt:lpstr>
      <vt:lpstr>Terms_and_Definitions</vt:lpstr>
      <vt:lpstr>Total_Workforce</vt:lpstr>
      <vt:lpstr>Waste_Directed_to_Disposal_by_Mine_Site</vt:lpstr>
      <vt:lpstr>Waste_Diverted_from_Disposal_by_Mine_Site</vt:lpstr>
      <vt:lpstr>Waste_Generated_by_Mine_Site</vt:lpstr>
      <vt:lpstr>Water_Discharge_by_Mine_Site</vt:lpstr>
      <vt:lpstr>Water_Withdrawal_by_Mine_Site</vt:lpstr>
      <vt:lpstr>Work_Related_Ill_Health</vt:lpstr>
      <vt:lpstr>Work_Related_Injuries</vt:lpstr>
      <vt:lpstr>Workers_Hired_From_the_Local_Community_at_the_Mine_site_Level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Habed</dc:creator>
  <cp:keywords/>
  <dc:description/>
  <cp:lastModifiedBy>Rhylin Bailie</cp:lastModifiedBy>
  <cp:revision/>
  <dcterms:created xsi:type="dcterms:W3CDTF">2025-10-28T22:44:15Z</dcterms:created>
  <dcterms:modified xsi:type="dcterms:W3CDTF">2026-07-15T15:16:27Z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0x01010089DB72D2D5E9EB49BE258BBA977783A0</vt:lpwstr>
  </property>
  <property fmtid="{D5CDD505-2E9C-101B-9397-08002B2CF9AE}" pid="3" name="MediaServiceImageTags">
    <vt:lpwstr/>
  </property>
</Properties>
</file>